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10" firstSheet="2" activeTab="2"/>
  </bookViews>
  <sheets>
    <sheet name="UTCI" sheetId="1" state="hidden" r:id="rId1"/>
    <sheet name="Cheek" sheetId="2" state="hidden" r:id="rId2"/>
    <sheet name="Calculations" sheetId="3" r:id="rId3"/>
    <sheet name="Finger" sheetId="4" state="hidden" r:id="rId4"/>
  </sheets>
  <definedNames/>
  <calcPr fullCalcOnLoad="1"/>
</workbook>
</file>

<file path=xl/sharedStrings.xml><?xml version="1.0" encoding="utf-8"?>
<sst xmlns="http://schemas.openxmlformats.org/spreadsheetml/2006/main" count="309" uniqueCount="220">
  <si>
    <t>Ta</t>
  </si>
  <si>
    <t>Tmrt</t>
  </si>
  <si>
    <t>v</t>
  </si>
  <si>
    <t>e</t>
  </si>
  <si>
    <t>UTCI_ET</t>
  </si>
  <si>
    <t>Standard activity - Sunny place</t>
  </si>
  <si>
    <t>Standard activity - Shaded place</t>
  </si>
  <si>
    <t>T air (C)</t>
  </si>
  <si>
    <t>&lt;-- Enter</t>
  </si>
  <si>
    <t>conversion aid</t>
  </si>
  <si>
    <t>wind at 10 m off ground (km/h)</t>
  </si>
  <si>
    <t xml:space="preserve">    m/s to km/h</t>
  </si>
  <si>
    <t>predicted cheek Tss (C)</t>
  </si>
  <si>
    <t>face</t>
  </si>
  <si>
    <t>v10</t>
  </si>
  <si>
    <t>Index</t>
  </si>
  <si>
    <t>Time (min)</t>
  </si>
  <si>
    <t>(m/s)</t>
  </si>
  <si>
    <t>(km/h)</t>
  </si>
  <si>
    <t>predicted risk of cheek freezing</t>
  </si>
  <si>
    <t>ß</t>
  </si>
  <si>
    <t>negligible risk of freezing</t>
  </si>
  <si>
    <t>low risk of freezing</t>
  </si>
  <si>
    <t>freezing is likely</t>
  </si>
  <si>
    <t>&gt; 20 min</t>
  </si>
  <si>
    <t>freezing risk is moderate</t>
  </si>
  <si>
    <t>10 - 20 min</t>
  </si>
  <si>
    <t>freezing risk is high</t>
  </si>
  <si>
    <t>5 - 10 min</t>
  </si>
  <si>
    <t>freezing risk is severe</t>
  </si>
  <si>
    <t>2 - 5 min</t>
  </si>
  <si>
    <t>freezing risk is extreme</t>
  </si>
  <si>
    <t>&lt; 2 min</t>
  </si>
  <si>
    <t>! DO NOT CHANGE VALUES IN RED ZONE (else model invalid)</t>
  </si>
  <si>
    <t>&lt;-- Tsky (open)</t>
  </si>
  <si>
    <t>T inner (C)</t>
  </si>
  <si>
    <t>&lt;-- Tindoor</t>
  </si>
  <si>
    <t>air density (kg/m3)</t>
  </si>
  <si>
    <t>&lt;-- Trad (choose D2 if indoor)</t>
  </si>
  <si>
    <t>air viscosity (kg/m/s)</t>
  </si>
  <si>
    <t>&lt;-- hrad</t>
  </si>
  <si>
    <t>resistance (m2*C/W)</t>
  </si>
  <si>
    <t>r2, outer radius (m)</t>
  </si>
  <si>
    <t>r1, inner radius (m)</t>
  </si>
  <si>
    <t>in/out = 0/1</t>
  </si>
  <si>
    <t>ktis conductivity (W/m/C)</t>
  </si>
  <si>
    <t>indoor</t>
  </si>
  <si>
    <t>kair conductivity (W/m/C)</t>
  </si>
  <si>
    <t>outdoor</t>
  </si>
  <si>
    <t>air specific heat (W*s/kg/C)</t>
  </si>
  <si>
    <t>Prandl No. (Pr)</t>
  </si>
  <si>
    <t>wind at face level (m/s)</t>
  </si>
  <si>
    <t>Tss &lt;= 0</t>
  </si>
  <si>
    <t>FI</t>
  </si>
  <si>
    <t>Reynolds No. (Re)</t>
  </si>
  <si>
    <t>0&gt;Tss&gt;-4.8</t>
  </si>
  <si>
    <t>constant C1</t>
  </si>
  <si>
    <t>Tss &lt; -4.8</t>
  </si>
  <si>
    <t>constant n</t>
  </si>
  <si>
    <t>v10 &lt; 70</t>
  </si>
  <si>
    <t>constant m</t>
  </si>
  <si>
    <t>v10 &lt; 55</t>
  </si>
  <si>
    <t>Nusselt No. (Nu)</t>
  </si>
  <si>
    <t>set #1</t>
  </si>
  <si>
    <t>hc (W/m2/C)</t>
  </si>
  <si>
    <t>set #2</t>
  </si>
  <si>
    <t>r2*ln(r2/r1)</t>
  </si>
  <si>
    <t>tf</t>
  </si>
  <si>
    <t>parameter a</t>
  </si>
  <si>
    <t>relative humidity (%)</t>
  </si>
  <si>
    <t>Parameters (cheek)</t>
  </si>
  <si>
    <t>Set #1</t>
  </si>
  <si>
    <t>Set #2</t>
  </si>
  <si>
    <t>vapour pressure (mbar)</t>
  </si>
  <si>
    <t>a</t>
  </si>
  <si>
    <t>b</t>
  </si>
  <si>
    <t>Tss assuming fixed R (B5)</t>
  </si>
  <si>
    <t>a + b*v10</t>
  </si>
  <si>
    <t xml:space="preserve">         &amp; 1st estimate of hrad</t>
  </si>
  <si>
    <t xml:space="preserve">         &amp; 2nd estimate of hrad</t>
  </si>
  <si>
    <t>x</t>
  </si>
  <si>
    <t>q@ss (W/m2)</t>
  </si>
  <si>
    <t>tissue density (kg/m3)</t>
  </si>
  <si>
    <t>mass/area (kg/m2)</t>
  </si>
  <si>
    <t>tis specific heat (W*s/kg/C)</t>
  </si>
  <si>
    <t>tissue conductance (m2/s)</t>
  </si>
  <si>
    <t>(also known as diffusivity)</t>
  </si>
  <si>
    <t>C/x^2</t>
  </si>
  <si>
    <t>initial Tsk =</t>
  </si>
  <si>
    <t>Time (sec)</t>
  </si>
  <si>
    <t>predicted risk of finger freezing</t>
  </si>
  <si>
    <t>&gt; 4 min</t>
  </si>
  <si>
    <t>2 - 4 min</t>
  </si>
  <si>
    <t>1 - 2 min</t>
  </si>
  <si>
    <t>30 - 60 sec</t>
  </si>
  <si>
    <t>&lt; 30 sec</t>
  </si>
  <si>
    <t>! DO NOT CHANGE VALUES IN RED ZONE</t>
  </si>
  <si>
    <t>finger FI</t>
  </si>
  <si>
    <t>Parameters (finger)</t>
  </si>
  <si>
    <t xml:space="preserve">Ta </t>
  </si>
  <si>
    <t xml:space="preserve">RH </t>
  </si>
  <si>
    <t>vp (hPa)</t>
  </si>
  <si>
    <t>ap (hPa)</t>
  </si>
  <si>
    <t>v (m/s)</t>
  </si>
  <si>
    <t>N (oktanty)</t>
  </si>
  <si>
    <t>h (°)</t>
  </si>
  <si>
    <t>Tg (°C)</t>
  </si>
  <si>
    <t>Mrt</t>
  </si>
  <si>
    <t>M</t>
  </si>
  <si>
    <t>Icl (clo)</t>
  </si>
  <si>
    <t>ac (%)</t>
  </si>
  <si>
    <t>v' (m/s)</t>
  </si>
  <si>
    <t>Ts (°C)</t>
  </si>
  <si>
    <t>R</t>
  </si>
  <si>
    <t>C</t>
  </si>
  <si>
    <t xml:space="preserve">E </t>
  </si>
  <si>
    <t>Q</t>
  </si>
  <si>
    <t xml:space="preserve">Res </t>
  </si>
  <si>
    <t>L</t>
  </si>
  <si>
    <t>S</t>
  </si>
  <si>
    <t>PST</t>
  </si>
  <si>
    <t>PhS</t>
  </si>
  <si>
    <t>HR</t>
  </si>
  <si>
    <t>MHR</t>
  </si>
  <si>
    <t>(g/godz)</t>
  </si>
  <si>
    <t>R' (W/m2)</t>
  </si>
  <si>
    <t>Lg</t>
  </si>
  <si>
    <t>La</t>
  </si>
  <si>
    <t>Ls</t>
  </si>
  <si>
    <t>SST</t>
  </si>
  <si>
    <t>w</t>
  </si>
  <si>
    <t>es (hPa)</t>
  </si>
  <si>
    <t>he</t>
  </si>
  <si>
    <t>4sdT3</t>
  </si>
  <si>
    <t>sdT4</t>
  </si>
  <si>
    <t>hc</t>
  </si>
  <si>
    <t>hc d'</t>
  </si>
  <si>
    <t>hc d</t>
  </si>
  <si>
    <t>Irc</t>
  </si>
  <si>
    <t>Ie</t>
  </si>
  <si>
    <t>iMrt</t>
  </si>
  <si>
    <t>dTs</t>
  </si>
  <si>
    <t>Ts+dTs</t>
  </si>
  <si>
    <t>Tsk*</t>
  </si>
  <si>
    <t>w*</t>
  </si>
  <si>
    <t>vpsk*</t>
  </si>
  <si>
    <t>E*</t>
  </si>
  <si>
    <t>C*</t>
  </si>
  <si>
    <t>L zE</t>
  </si>
  <si>
    <t>Q*</t>
  </si>
  <si>
    <t>S*</t>
  </si>
  <si>
    <t>dSnew</t>
  </si>
  <si>
    <t>h&lt;4°</t>
  </si>
  <si>
    <t>h&gt;4°,N&lt;3</t>
  </si>
  <si>
    <t>h&gt;4,N3-4</t>
  </si>
  <si>
    <t>h&gt;4,N4-7</t>
  </si>
  <si>
    <t>h&gt;4,N&gt;7</t>
  </si>
  <si>
    <t>vpmax</t>
  </si>
  <si>
    <t>vp*</t>
  </si>
  <si>
    <t>Sunny place</t>
  </si>
  <si>
    <t>male</t>
  </si>
  <si>
    <t>SB</t>
  </si>
  <si>
    <t>Shaded place</t>
  </si>
  <si>
    <t>AB</t>
  </si>
  <si>
    <t>MR</t>
  </si>
  <si>
    <t>AR</t>
  </si>
  <si>
    <t>pi/180</t>
  </si>
  <si>
    <t>f</t>
  </si>
  <si>
    <t>godz</t>
  </si>
  <si>
    <t>min</t>
  </si>
  <si>
    <t>godzina</t>
  </si>
  <si>
    <t>tt</t>
  </si>
  <si>
    <t>dzień</t>
  </si>
  <si>
    <t>th</t>
  </si>
  <si>
    <t>2th</t>
  </si>
  <si>
    <t>3th</t>
  </si>
  <si>
    <t>d</t>
  </si>
  <si>
    <t>sinh</t>
  </si>
  <si>
    <t>h</t>
  </si>
  <si>
    <t>Bio-thermal characteristics are derived from the MENEX_2005</t>
  </si>
  <si>
    <t>Criteria for the assessment of UTCI equivalent temperature (ET) values</t>
  </si>
  <si>
    <t>Meteorological data:</t>
  </si>
  <si>
    <t>Physiological data:</t>
  </si>
  <si>
    <t>human heat balance model of Krys Blazejczyk</t>
  </si>
  <si>
    <t>Air temperature (oC)</t>
  </si>
  <si>
    <t>Gender:</t>
  </si>
  <si>
    <t>Bio-thermal characteristics:</t>
  </si>
  <si>
    <t>Relative humidity (%)</t>
  </si>
  <si>
    <t>(1=male, 2=female)</t>
  </si>
  <si>
    <t>Physiological Subjective Temp. (oC)</t>
  </si>
  <si>
    <t>Wind speed at 10 m (m/s)</t>
  </si>
  <si>
    <t>Thermal sensation</t>
  </si>
  <si>
    <t>Cloudiness (octas)</t>
  </si>
  <si>
    <t>Colour of clothing:</t>
  </si>
  <si>
    <t>Adaptation processes:</t>
  </si>
  <si>
    <t>(1=light,</t>
  </si>
  <si>
    <t>Water loss (g/hour)</t>
  </si>
  <si>
    <t>Date and location:</t>
  </si>
  <si>
    <t>2=neutral,</t>
  </si>
  <si>
    <t>Heart rate (beats/min)</t>
  </si>
  <si>
    <t>month</t>
  </si>
  <si>
    <t>3=dark)</t>
  </si>
  <si>
    <t>Safety time of exposure (min)</t>
  </si>
  <si>
    <t>day</t>
  </si>
  <si>
    <t>hour</t>
  </si>
  <si>
    <t>minute</t>
  </si>
  <si>
    <t xml:space="preserve">UTCI </t>
  </si>
  <si>
    <t xml:space="preserve">Frostbite risk </t>
  </si>
  <si>
    <t xml:space="preserve">due to © DRDC Toronto </t>
  </si>
  <si>
    <t>Frostite index</t>
  </si>
  <si>
    <t>Standard activity refers to walking 4 km/h</t>
  </si>
  <si>
    <t>(P.Tikuisis)</t>
  </si>
  <si>
    <t>frostbite time</t>
  </si>
  <si>
    <t xml:space="preserve">   (metabolism of 135 W/m2)</t>
  </si>
  <si>
    <t>sec</t>
  </si>
  <si>
    <t>Predicted cheek / finger temperature</t>
  </si>
  <si>
    <t>latitude (degree)</t>
  </si>
  <si>
    <t>latitude (min)</t>
  </si>
  <si>
    <t>Cheek</t>
  </si>
  <si>
    <t>Fingers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</si>
</sst>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General_)"/>
    <numFmt numFmtId="168" formatCode="0.00000_)"/>
    <numFmt numFmtId="169" formatCode="0_)"/>
    <numFmt numFmtId="170" formatCode="0.0_)"/>
    <numFmt numFmtId="171" formatCode="0.00_)"/>
    <numFmt numFmtId="172" formatCode="0.000_)"/>
  </numFmts>
  <fonts count="15">
    <font>
      <sz val="10"/>
      <name val="Arial"/>
      <family val="0"/>
    </font>
    <font>
      <sz val="10"/>
      <name val="Arial CE"/>
      <family val="0"/>
    </font>
    <font>
      <b/>
      <sz val="15"/>
      <name val="Arial"/>
      <family val="2"/>
    </font>
    <font>
      <b/>
      <sz val="12"/>
      <color indexed="22"/>
      <name val="Arial"/>
      <family val="2"/>
    </font>
    <font>
      <b/>
      <sz val="15"/>
      <name val="Symbol"/>
      <family val="1"/>
    </font>
    <font>
      <b/>
      <sz val="10"/>
      <name val="Arial"/>
      <family val="2"/>
    </font>
    <font>
      <sz val="15"/>
      <name val="Arial"/>
      <family val="0"/>
    </font>
    <font>
      <sz val="12"/>
      <name val="Arial CE"/>
      <family val="0"/>
    </font>
    <font>
      <sz val="8"/>
      <name val="Arial"/>
      <family val="0"/>
    </font>
    <font>
      <b/>
      <i/>
      <sz val="10"/>
      <name val="Arial CE"/>
      <family val="2"/>
    </font>
    <font>
      <b/>
      <i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7" borderId="2" xfId="0" applyFont="1" applyFill="1" applyBorder="1" applyAlignment="1">
      <alignment/>
    </xf>
    <xf numFmtId="0" fontId="2" fillId="7" borderId="15" xfId="0" applyFont="1" applyFill="1" applyBorder="1" applyAlignment="1">
      <alignment horizontal="center"/>
    </xf>
    <xf numFmtId="164" fontId="2" fillId="7" borderId="3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/>
    </xf>
    <xf numFmtId="0" fontId="2" fillId="7" borderId="17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164" fontId="2" fillId="7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8" borderId="0" xfId="0" applyFont="1" applyFill="1" applyAlignment="1">
      <alignment/>
    </xf>
    <xf numFmtId="0" fontId="0" fillId="8" borderId="0" xfId="0" applyFill="1" applyAlignment="1">
      <alignment/>
    </xf>
    <xf numFmtId="164" fontId="5" fillId="8" borderId="0" xfId="0" applyNumberFormat="1" applyFont="1" applyFill="1" applyAlignment="1">
      <alignment horizontal="center"/>
    </xf>
    <xf numFmtId="2" fontId="0" fillId="8" borderId="0" xfId="0" applyNumberFormat="1" applyFill="1" applyAlignment="1">
      <alignment/>
    </xf>
    <xf numFmtId="0" fontId="5" fillId="8" borderId="0" xfId="0" applyFont="1" applyFill="1" applyAlignment="1">
      <alignment horizontal="center"/>
    </xf>
    <xf numFmtId="164" fontId="5" fillId="8" borderId="0" xfId="0" applyNumberFormat="1" applyFont="1" applyFill="1" applyBorder="1" applyAlignment="1">
      <alignment horizontal="center"/>
    </xf>
    <xf numFmtId="2" fontId="5" fillId="8" borderId="0" xfId="0" applyNumberFormat="1" applyFont="1" applyFill="1" applyAlignment="1">
      <alignment horizontal="center"/>
    </xf>
    <xf numFmtId="2" fontId="5" fillId="8" borderId="0" xfId="0" applyNumberFormat="1" applyFont="1" applyFill="1" applyBorder="1" applyAlignment="1">
      <alignment horizontal="center"/>
    </xf>
    <xf numFmtId="165" fontId="0" fillId="8" borderId="0" xfId="0" applyNumberFormat="1" applyFill="1" applyAlignment="1">
      <alignment/>
    </xf>
    <xf numFmtId="165" fontId="5" fillId="8" borderId="0" xfId="0" applyNumberFormat="1" applyFont="1" applyFill="1" applyAlignment="1">
      <alignment horizontal="center"/>
    </xf>
    <xf numFmtId="2" fontId="0" fillId="8" borderId="0" xfId="0" applyNumberFormat="1" applyFill="1" applyBorder="1" applyAlignment="1">
      <alignment/>
    </xf>
    <xf numFmtId="0" fontId="5" fillId="8" borderId="18" xfId="0" applyFont="1" applyFill="1" applyBorder="1" applyAlignment="1">
      <alignment horizontal="center"/>
    </xf>
    <xf numFmtId="166" fontId="0" fillId="8" borderId="0" xfId="0" applyNumberFormat="1" applyFill="1" applyAlignment="1">
      <alignment/>
    </xf>
    <xf numFmtId="166" fontId="5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Border="1" applyAlignment="1">
      <alignment horizontal="right"/>
    </xf>
    <xf numFmtId="164" fontId="5" fillId="8" borderId="0" xfId="0" applyNumberFormat="1" applyFont="1" applyFill="1" applyBorder="1" applyAlignment="1">
      <alignment/>
    </xf>
    <xf numFmtId="1" fontId="0" fillId="8" borderId="0" xfId="0" applyNumberFormat="1" applyFill="1" applyAlignment="1">
      <alignment/>
    </xf>
    <xf numFmtId="1" fontId="5" fillId="8" borderId="0" xfId="0" applyNumberFormat="1" applyFont="1" applyFill="1" applyAlignment="1">
      <alignment horizontal="center"/>
    </xf>
    <xf numFmtId="0" fontId="0" fillId="8" borderId="0" xfId="0" applyFill="1" applyBorder="1" applyAlignment="1">
      <alignment/>
    </xf>
    <xf numFmtId="2" fontId="5" fillId="8" borderId="0" xfId="0" applyNumberFormat="1" applyFont="1" applyFill="1" applyBorder="1" applyAlignment="1">
      <alignment/>
    </xf>
    <xf numFmtId="0" fontId="5" fillId="8" borderId="19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8" borderId="4" xfId="0" applyFill="1" applyBorder="1" applyAlignment="1">
      <alignment/>
    </xf>
    <xf numFmtId="0" fontId="0" fillId="8" borderId="4" xfId="0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0" fillId="8" borderId="8" xfId="0" applyFill="1" applyBorder="1" applyAlignment="1">
      <alignment/>
    </xf>
    <xf numFmtId="164" fontId="0" fillId="8" borderId="0" xfId="0" applyNumberFormat="1" applyFill="1" applyAlignment="1">
      <alignment/>
    </xf>
    <xf numFmtId="164" fontId="0" fillId="8" borderId="0" xfId="0" applyNumberFormat="1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0" fontId="0" fillId="8" borderId="13" xfId="0" applyFill="1" applyBorder="1" applyAlignment="1">
      <alignment/>
    </xf>
    <xf numFmtId="164" fontId="5" fillId="8" borderId="13" xfId="0" applyNumberFormat="1" applyFont="1" applyFill="1" applyBorder="1" applyAlignment="1">
      <alignment/>
    </xf>
    <xf numFmtId="164" fontId="5" fillId="8" borderId="14" xfId="0" applyNumberFormat="1" applyFont="1" applyFill="1" applyBorder="1" applyAlignment="1">
      <alignment/>
    </xf>
    <xf numFmtId="0" fontId="0" fillId="8" borderId="0" xfId="0" applyFill="1" applyAlignment="1">
      <alignment horizontal="left"/>
    </xf>
    <xf numFmtId="0" fontId="0" fillId="0" borderId="0" xfId="0" applyFill="1" applyAlignment="1">
      <alignment horizontal="left"/>
    </xf>
    <xf numFmtId="1" fontId="2" fillId="5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8" borderId="0" xfId="0" applyFill="1" applyAlignment="1">
      <alignment horizontal="center"/>
    </xf>
    <xf numFmtId="0" fontId="0" fillId="8" borderId="18" xfId="0" applyFill="1" applyBorder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5" xfId="0" applyFill="1" applyBorder="1" applyAlignment="1">
      <alignment/>
    </xf>
    <xf numFmtId="2" fontId="0" fillId="8" borderId="20" xfId="0" applyNumberFormat="1" applyFill="1" applyBorder="1" applyAlignment="1">
      <alignment/>
    </xf>
    <xf numFmtId="0" fontId="0" fillId="8" borderId="20" xfId="0" applyFill="1" applyBorder="1" applyAlignment="1">
      <alignment/>
    </xf>
    <xf numFmtId="2" fontId="0" fillId="8" borderId="21" xfId="0" applyNumberFormat="1" applyFill="1" applyBorder="1" applyAlignment="1">
      <alignment/>
    </xf>
    <xf numFmtId="2" fontId="0" fillId="8" borderId="14" xfId="0" applyNumberFormat="1" applyFill="1" applyBorder="1" applyAlignment="1">
      <alignment/>
    </xf>
    <xf numFmtId="1" fontId="0" fillId="8" borderId="21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7" fontId="1" fillId="9" borderId="0" xfId="0" applyNumberFormat="1" applyFont="1" applyFill="1" applyAlignment="1" applyProtection="1">
      <alignment horizontal="center"/>
      <protection/>
    </xf>
    <xf numFmtId="0" fontId="1" fillId="9" borderId="0" xfId="0" applyFont="1" applyFill="1" applyAlignment="1">
      <alignment/>
    </xf>
    <xf numFmtId="167" fontId="1" fillId="9" borderId="0" xfId="0" applyNumberFormat="1" applyFont="1" applyFill="1" applyAlignment="1" applyProtection="1">
      <alignment horizontal="left"/>
      <protection/>
    </xf>
    <xf numFmtId="168" fontId="1" fillId="9" borderId="0" xfId="0" applyNumberFormat="1" applyFont="1" applyFill="1" applyAlignment="1" applyProtection="1">
      <alignment horizontal="center"/>
      <protection/>
    </xf>
    <xf numFmtId="167" fontId="1" fillId="0" borderId="0" xfId="0" applyNumberFormat="1" applyFont="1" applyFill="1" applyAlignment="1" applyProtection="1">
      <alignment horizontal="center"/>
      <protection/>
    </xf>
    <xf numFmtId="167" fontId="1" fillId="10" borderId="0" xfId="0" applyNumberFormat="1" applyFont="1" applyFill="1" applyAlignment="1" applyProtection="1">
      <alignment horizontal="center"/>
      <protection/>
    </xf>
    <xf numFmtId="167" fontId="1" fillId="5" borderId="0" xfId="0" applyNumberFormat="1" applyFont="1" applyFill="1" applyAlignment="1" applyProtection="1">
      <alignment horizontal="center"/>
      <protection/>
    </xf>
    <xf numFmtId="2" fontId="1" fillId="11" borderId="0" xfId="0" applyNumberFormat="1" applyFont="1" applyFill="1" applyAlignment="1">
      <alignment/>
    </xf>
    <xf numFmtId="164" fontId="1" fillId="11" borderId="0" xfId="0" applyNumberFormat="1" applyFont="1" applyFill="1" applyAlignment="1">
      <alignment/>
    </xf>
    <xf numFmtId="167" fontId="1" fillId="11" borderId="0" xfId="0" applyNumberFormat="1" applyFont="1" applyFill="1" applyAlignment="1" applyProtection="1">
      <alignment horizontal="left"/>
      <protection/>
    </xf>
    <xf numFmtId="0" fontId="1" fillId="11" borderId="0" xfId="0" applyFont="1" applyFill="1" applyAlignment="1">
      <alignment horizontal="left"/>
    </xf>
    <xf numFmtId="168" fontId="1" fillId="0" borderId="0" xfId="0" applyNumberFormat="1" applyFont="1" applyFill="1" applyAlignment="1" applyProtection="1">
      <alignment horizontal="left"/>
      <protection/>
    </xf>
    <xf numFmtId="168" fontId="1" fillId="0" borderId="0" xfId="0" applyNumberFormat="1" applyFont="1" applyFill="1" applyAlignment="1" applyProtection="1">
      <alignment horizontal="center"/>
      <protection/>
    </xf>
    <xf numFmtId="167" fontId="1" fillId="9" borderId="0" xfId="0" applyNumberFormat="1" applyFont="1" applyFill="1" applyAlignment="1" applyProtection="1">
      <alignment/>
      <protection/>
    </xf>
    <xf numFmtId="167" fontId="1" fillId="9" borderId="0" xfId="0" applyNumberFormat="1" applyFont="1" applyFill="1" applyAlignment="1">
      <alignment/>
    </xf>
    <xf numFmtId="169" fontId="1" fillId="9" borderId="0" xfId="0" applyNumberFormat="1" applyFont="1" applyFill="1" applyAlignment="1" applyProtection="1">
      <alignment/>
      <protection/>
    </xf>
    <xf numFmtId="164" fontId="1" fillId="9" borderId="0" xfId="0" applyNumberFormat="1" applyFont="1" applyFill="1" applyAlignment="1" applyProtection="1">
      <alignment/>
      <protection/>
    </xf>
    <xf numFmtId="164" fontId="1" fillId="9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/>
      <protection/>
    </xf>
    <xf numFmtId="167" fontId="1" fillId="10" borderId="0" xfId="0" applyNumberFormat="1" applyFont="1" applyFill="1" applyAlignment="1" applyProtection="1">
      <alignment/>
      <protection/>
    </xf>
    <xf numFmtId="170" fontId="1" fillId="5" borderId="0" xfId="0" applyNumberFormat="1" applyFont="1" applyFill="1" applyAlignment="1" applyProtection="1">
      <alignment/>
      <protection/>
    </xf>
    <xf numFmtId="171" fontId="1" fillId="5" borderId="0" xfId="0" applyNumberFormat="1" applyFont="1" applyFill="1" applyAlignment="1" applyProtection="1">
      <alignment/>
      <protection/>
    </xf>
    <xf numFmtId="2" fontId="1" fillId="5" borderId="0" xfId="0" applyNumberFormat="1" applyFont="1" applyFill="1" applyAlignment="1">
      <alignment/>
    </xf>
    <xf numFmtId="2" fontId="1" fillId="5" borderId="0" xfId="0" applyNumberFormat="1" applyFont="1" applyFill="1" applyAlignment="1" applyProtection="1">
      <alignment/>
      <protection/>
    </xf>
    <xf numFmtId="2" fontId="1" fillId="11" borderId="0" xfId="0" applyNumberFormat="1" applyFont="1" applyFill="1" applyAlignment="1" applyProtection="1">
      <alignment/>
      <protection/>
    </xf>
    <xf numFmtId="169" fontId="1" fillId="11" borderId="0" xfId="0" applyNumberFormat="1" applyFont="1" applyFill="1" applyAlignment="1" applyProtection="1">
      <alignment/>
      <protection/>
    </xf>
    <xf numFmtId="167" fontId="1" fillId="11" borderId="0" xfId="0" applyNumberFormat="1" applyFont="1" applyFill="1" applyAlignment="1">
      <alignment/>
    </xf>
    <xf numFmtId="170" fontId="1" fillId="0" borderId="0" xfId="0" applyNumberFormat="1" applyFont="1" applyFill="1" applyAlignment="1" applyProtection="1">
      <alignment/>
      <protection/>
    </xf>
    <xf numFmtId="171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9" fillId="9" borderId="0" xfId="0" applyFont="1" applyFill="1" applyAlignment="1">
      <alignment/>
    </xf>
    <xf numFmtId="0" fontId="10" fillId="0" borderId="0" xfId="0" applyFont="1" applyAlignment="1">
      <alignment/>
    </xf>
    <xf numFmtId="0" fontId="11" fillId="12" borderId="1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11" fillId="13" borderId="1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0" fontId="11" fillId="9" borderId="0" xfId="0" applyFont="1" applyFill="1" applyAlignment="1">
      <alignment/>
    </xf>
    <xf numFmtId="0" fontId="1" fillId="12" borderId="1" xfId="0" applyFont="1" applyFill="1" applyBorder="1" applyAlignment="1">
      <alignment wrapText="1"/>
    </xf>
    <xf numFmtId="0" fontId="11" fillId="12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1" fillId="13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0" fontId="11" fillId="7" borderId="1" xfId="0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169" fontId="1" fillId="2" borderId="1" xfId="0" applyNumberFormat="1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>
      <alignment wrapText="1"/>
    </xf>
    <xf numFmtId="164" fontId="11" fillId="14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0" fontId="13" fillId="10" borderId="0" xfId="0" applyFont="1" applyFill="1" applyAlignment="1">
      <alignment/>
    </xf>
    <xf numFmtId="0" fontId="1" fillId="0" borderId="0" xfId="0" applyFont="1" applyAlignment="1">
      <alignment/>
    </xf>
    <xf numFmtId="0" fontId="11" fillId="10" borderId="0" xfId="0" applyFont="1" applyFill="1" applyAlignment="1">
      <alignment/>
    </xf>
    <xf numFmtId="0" fontId="5" fillId="10" borderId="2" xfId="0" applyFont="1" applyFill="1" applyBorder="1" applyAlignment="1">
      <alignment/>
    </xf>
    <xf numFmtId="0" fontId="0" fillId="10" borderId="15" xfId="0" applyFont="1" applyFill="1" applyBorder="1" applyAlignment="1">
      <alignment horizontal="center"/>
    </xf>
    <xf numFmtId="164" fontId="5" fillId="10" borderId="3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/>
    </xf>
    <xf numFmtId="0" fontId="0" fillId="10" borderId="17" xfId="0" applyFont="1" applyFill="1" applyBorder="1" applyAlignment="1">
      <alignment horizontal="center"/>
    </xf>
    <xf numFmtId="164" fontId="5" fillId="10" borderId="7" xfId="0" applyNumberFormat="1" applyFont="1" applyFill="1" applyBorder="1" applyAlignment="1">
      <alignment horizontal="center"/>
    </xf>
    <xf numFmtId="0" fontId="5" fillId="10" borderId="6" xfId="0" applyFont="1" applyFill="1" applyBorder="1" applyAlignment="1">
      <alignment/>
    </xf>
    <xf numFmtId="0" fontId="0" fillId="10" borderId="11" xfId="0" applyFont="1" applyFill="1" applyBorder="1" applyAlignment="1">
      <alignment horizontal="center"/>
    </xf>
    <xf numFmtId="164" fontId="5" fillId="10" borderId="12" xfId="0" applyNumberFormat="1" applyFont="1" applyFill="1" applyBorder="1" applyAlignment="1">
      <alignment horizontal="center"/>
    </xf>
    <xf numFmtId="164" fontId="11" fillId="10" borderId="0" xfId="0" applyNumberFormat="1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1" fontId="11" fillId="10" borderId="0" xfId="0" applyNumberFormat="1" applyFont="1" applyFill="1" applyAlignment="1">
      <alignment horizontal="center"/>
    </xf>
    <xf numFmtId="0" fontId="11" fillId="0" borderId="20" xfId="0" applyFont="1" applyFill="1" applyBorder="1" applyAlignment="1">
      <alignment wrapText="1"/>
    </xf>
    <xf numFmtId="164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169" fontId="1" fillId="0" borderId="20" xfId="0" applyNumberFormat="1" applyFont="1" applyFill="1" applyBorder="1" applyAlignment="1">
      <alignment horizontal="center"/>
    </xf>
    <xf numFmtId="169" fontId="1" fillId="0" borderId="20" xfId="0" applyNumberFormat="1" applyFont="1" applyFill="1" applyBorder="1" applyAlignment="1" applyProtection="1">
      <alignment horizontal="center"/>
      <protection/>
    </xf>
    <xf numFmtId="0" fontId="14" fillId="1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16</xdr:row>
      <xdr:rowOff>0</xdr:rowOff>
    </xdr:from>
    <xdr:to>
      <xdr:col>21</xdr:col>
      <xdr:colOff>409575</xdr:colOff>
      <xdr:row>58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485775"/>
          <a:ext cx="5895975" cy="862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"/>
  <sheetViews>
    <sheetView workbookViewId="0" topLeftCell="A1">
      <selection activeCell="M3" sqref="M3"/>
    </sheetView>
  </sheetViews>
  <sheetFormatPr defaultColWidth="9.140625" defaultRowHeight="12.75"/>
  <sheetData>
    <row r="1" spans="2:6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216" s="1" customFormat="1" ht="51">
      <c r="A2" s="2" t="s">
        <v>5</v>
      </c>
      <c r="B2">
        <f>Calculations!B17</f>
        <v>-15</v>
      </c>
      <c r="C2">
        <f>Calculations!O3</f>
        <v>-4.060598792533199</v>
      </c>
      <c r="D2">
        <f>Calculations!B19</f>
        <v>5</v>
      </c>
      <c r="E2">
        <f>Calculations!F3</f>
        <v>1.3369571493377648</v>
      </c>
      <c r="F2" s="1">
        <f>B2+SUM(G2:HH2)</f>
        <v>-30.562962618380205</v>
      </c>
      <c r="G2" s="1">
        <f>0.607562052</f>
        <v>0.607562052</v>
      </c>
      <c r="H2" s="1">
        <f>-0.0227712343*B2</f>
        <v>0.3415685145</v>
      </c>
      <c r="I2" s="1">
        <f>0.000806470249*B2*B2</f>
        <v>0.181455806025</v>
      </c>
      <c r="J2" s="1">
        <f>-0.000154271372*B2*B2*B2</f>
        <v>0.5206658805</v>
      </c>
      <c r="K2" s="1">
        <f>-0.00000324651735*B2*B2*B2*B2</f>
        <v>-0.16435494084375</v>
      </c>
      <c r="L2" s="1">
        <f>0.0000000732602852*B2*B2*B2*B2*B2</f>
        <v>-0.05563202907375</v>
      </c>
      <c r="M2" s="1">
        <f>0.00000000135959073*B2*B2*B2*B2*B2*B2</f>
        <v>0.015486588158906252</v>
      </c>
      <c r="N2" s="1">
        <f>-2.2583652*D2</f>
        <v>-11.291826</v>
      </c>
      <c r="O2" s="1">
        <f>0.0880326035*B2*D2</f>
        <v>-6.6024452625</v>
      </c>
      <c r="P2" s="1">
        <f>0.00216844454*B2*B2*D2</f>
        <v>2.4395001075</v>
      </c>
      <c r="Q2" s="1">
        <f>-0.0000153347087*B2*B2*B2*D2</f>
        <v>0.2587732093125</v>
      </c>
      <c r="R2" s="1">
        <f>-0.000000572983704*B2*B2*B2*B2*D2</f>
        <v>-0.14503650007500002</v>
      </c>
      <c r="S2" s="1">
        <f>-0.00000000255090145*B2*B2*B2*B2*B2*D2</f>
        <v>0.009685453942968752</v>
      </c>
      <c r="T2" s="1">
        <f>-0.751269505*D2*D2</f>
        <v>-18.781737624999998</v>
      </c>
      <c r="U2" s="1">
        <f>-0.00408350271*B2*D2*D2</f>
        <v>1.53131351625</v>
      </c>
      <c r="V2" s="1">
        <f>-0.0000521670675*B2*B2*D2*D2</f>
        <v>-0.2934397546875</v>
      </c>
      <c r="W2" s="1">
        <f>0.00000194544667*B2*B2*B2*D2*D2</f>
        <v>-0.16414706278125</v>
      </c>
      <c r="X2" s="1">
        <f>0.0000000114099531*B2*B2*B2*B2*D2*D2</f>
        <v>0.014440721892187498</v>
      </c>
      <c r="Y2" s="1">
        <f>0.158137256*D2*D2*D2</f>
        <v>19.767157</v>
      </c>
      <c r="Z2" s="1">
        <f>-0.0000657263143*B2*D2*D2*D2</f>
        <v>0.12323683931249999</v>
      </c>
      <c r="AA2" s="1">
        <f>0.000000222697524*B2*B2*D2*D2*D2</f>
        <v>0.006263367862499999</v>
      </c>
      <c r="AB2" s="1">
        <f>-0.0000000416117031*B2*B2*B2*D2*D2*D2</f>
        <v>0.0175549372453125</v>
      </c>
      <c r="AC2" s="1">
        <f>-0.0127762753*D2*D2*D2*D2</f>
        <v>-7.985172062500001</v>
      </c>
      <c r="AD2" s="1">
        <f>0.00000966891875*B2*D2*D2*D2*D2</f>
        <v>-0.09064611328125</v>
      </c>
      <c r="AE2" s="1">
        <f>0.00000000252785852*B2*B2*D2*D2*D2*D2</f>
        <v>0.000355480104375</v>
      </c>
      <c r="AF2" s="1">
        <f>0.000456306672*D2*D2*D2*D2*D2</f>
        <v>1.4259583500000002</v>
      </c>
      <c r="AG2" s="1">
        <f>-0.000000174202546*B2*D2*D2*D2*D2*D2</f>
        <v>0.008165744343750002</v>
      </c>
      <c r="AH2" s="1">
        <f>-0.00000591491269*D2*D2*D2*D2*D2*D2</f>
        <v>-0.09242051078124999</v>
      </c>
      <c r="AI2" s="1">
        <f>0.398374029*(C2-B2)</f>
        <v>4.357973333866014</v>
      </c>
      <c r="AJ2" s="1">
        <f>0.000183945314*B2*(C2-B2)</f>
        <v>-0.030183773851191895</v>
      </c>
      <c r="AK2" s="1">
        <f>-0.00017375451*B2*B2*(C2-B2)</f>
        <v>-0.4276733167117805</v>
      </c>
      <c r="AL2" s="1">
        <f>-0.000000760781159*B2*B2*B2*(C2-B2)</f>
        <v>0.028088404861666253</v>
      </c>
      <c r="AM2" s="1">
        <f>0.0000000377830287*B2*B2*B2*B2*(C2-B2)</f>
        <v>0.020924512807740724</v>
      </c>
      <c r="AN2" s="1">
        <f>0.000000000543079673*B2*B2*B2*B2*B2*(C2-B2)</f>
        <v>-0.004511421383211721</v>
      </c>
      <c r="AO2" s="1">
        <f>-0.0200518269*D2*(C2-B2)</f>
        <v>-1.0967748970088764</v>
      </c>
      <c r="AP2" s="1">
        <f>0.000892859837*B2*D2*(C2-B2)</f>
        <v>-0.7325513984232308</v>
      </c>
      <c r="AQ2" s="1">
        <f>0.00000345433048*B2*B2*D2*(C2-B2)</f>
        <v>0.04251184540188905</v>
      </c>
      <c r="AR2" s="1">
        <f>-0.000000377925774*B2*B2*B2*D2*(C2-B2)</f>
        <v>0.06976600315472968</v>
      </c>
      <c r="AS2" s="1">
        <f>-0.00000000169699377*B2*B2*B2*B2*D2*(C2-B2)</f>
        <v>-0.00469903672320229</v>
      </c>
      <c r="AT2" s="1">
        <f>0.000169992415*D2*D2*(C2-B2)</f>
        <v>0.04649038074777993</v>
      </c>
      <c r="AU2" s="1">
        <f>-0.0000499204314*B2*D2*D2*(C2-B2)</f>
        <v>0.20478736032540887</v>
      </c>
      <c r="AV2" s="1">
        <f>0.000000247417178*B2*B2*D2*D2*(C2-B2)</f>
        <v>0.015224601238656911</v>
      </c>
      <c r="AW2" s="1">
        <f>0.0000000107596466*B2*B2*B2*D2*D2*(C2-B2)</f>
        <v>-0.009931282678796291</v>
      </c>
      <c r="AX2" s="1">
        <f>0.0000849242932*D2*D2*D2*(C2-B2)</f>
        <v>0.11612761444691808</v>
      </c>
      <c r="AY2" s="1">
        <f>0.00000135191328*B2*D2*D2*D2*(C2-B2)</f>
        <v>-0.027729603314292</v>
      </c>
      <c r="AZ2" s="1">
        <f>-0.00000000621531254*B2*B2*D2*D2*D2*(C2-B2)</f>
        <v>-0.001912269304824175</v>
      </c>
      <c r="BA2" s="1">
        <f>-0.00000499410301*D2*D2*D2*D2*(C2-B2)</f>
        <v>-0.03414531031112974</v>
      </c>
      <c r="BB2" s="1">
        <f>-0.0000000189489258*B2*D2*D2*D2*D2*(C2-B2)</f>
        <v>0.0019433428291567387</v>
      </c>
      <c r="BC2" s="1">
        <f>0.0000000815300114*D2*D2*D2*D2*D2*(C2-B2)</f>
        <v>0.002787154703606069</v>
      </c>
      <c r="BD2" s="1">
        <f>0.00075504309*(C2-B2)*(C2-B2)</f>
        <v>0.09035638317912655</v>
      </c>
      <c r="BE2" s="1">
        <f>-0.0000565095215*B2*(C2-B2)*(C2-B2)</f>
        <v>0.10143783935410408</v>
      </c>
      <c r="BF2" s="1">
        <f>-0.000000452166564*B2*B2*(C2-B2)*(C2-B2)</f>
        <v>-0.012174974605030734</v>
      </c>
      <c r="BG2" s="1">
        <f>0.0000000246688878*B2*B2*B2*(C2-B2)*(C2-B2)</f>
        <v>-0.0099634661122141</v>
      </c>
      <c r="BH2" s="1">
        <f>0.000000000242674348*B2*B2*B2*B2*(C2-B2)*(C2-B2)</f>
        <v>0.0014701986134545058</v>
      </c>
      <c r="BI2" s="1">
        <f>0.00015454725*D2*(C2-B2)*(C2-B2)</f>
        <v>0.0924737324612842</v>
      </c>
      <c r="BJ2" s="1">
        <f>0.0000052411097*B2*D2*(C2-B2)*(C2-B2)</f>
        <v>-0.047040465896161995</v>
      </c>
      <c r="BK2" s="1">
        <f>-0.0000000875874982*B2*B2*D2*(C2-B2)*(C2-B2)</f>
        <v>-0.011791844545842792</v>
      </c>
      <c r="BL2" s="1">
        <f>-0.00000000150743064*B2*B2*B2*D2*(C2-B2)*(C2-B2)</f>
        <v>0.0030441652294825416</v>
      </c>
      <c r="BM2" s="1">
        <f>-0.0000156236307*D2*D2*(C2-B2)*(C2-B2)</f>
        <v>-0.04674219196477797</v>
      </c>
      <c r="BN2" s="1">
        <f>-0.000000133895614*B2*D2*D2*(C2-B2)*(C2-B2)</f>
        <v>0.006008758091833749</v>
      </c>
      <c r="BO2" s="1">
        <f>0.00000000249709824*B2*B2*D2*D2*(C2-B2)*(C2-B2)</f>
        <v>0.0016809130793153332</v>
      </c>
      <c r="BP2" s="1">
        <f>0.000000651711721*D2*D2*D2*(C2-B2)*(C2-B2)</f>
        <v>0.009748833338936327</v>
      </c>
      <c r="BQ2" s="1">
        <f>0.00000000194960053*B2*D2*D2*D2*(C2-B2)*(C2-B2)</f>
        <v>-0.00043745562720526706</v>
      </c>
      <c r="BR2" s="1">
        <f>-0.0000000100361113*D2*D2*D2*D2*(C2-B2)*(C2-B2)</f>
        <v>-0.000750641528163613</v>
      </c>
      <c r="BS2" s="1">
        <f>-0.0000121206673*(C2-B2)*(C2-B2)*(C2-B2)</f>
        <v>-0.015867451595989818</v>
      </c>
      <c r="BT2" s="1">
        <f>-0.00000021820366*B2*(C2-B2)*(C2-B2)*(C2-B2)</f>
        <v>0.0042848334098542</v>
      </c>
      <c r="BU2" s="1">
        <f>0.00000000751269482*B2*B2*(C2-B2)*(C2-B2)*(C2-B2)</f>
        <v>0.002212885367924712</v>
      </c>
      <c r="BV2" s="1">
        <f>0.0000000000979063848*B2*B2*B2*(C2-B2)*(C2-B2)*(C2-B2)</f>
        <v>-0.0004325790110099129</v>
      </c>
      <c r="BW2" s="1">
        <f>0.00000125006734*D2*(C2-B2)*(C2-B2)*(C2-B2)</f>
        <v>0.00818246327459947</v>
      </c>
      <c r="BX2" s="1">
        <f>-0.00000000181584736*B2*D2*(C2-B2)*(C2-B2)*(C2-B2)</f>
        <v>0.00017828764731360477</v>
      </c>
      <c r="BY2" s="1">
        <f>-0.000000000352197671*B2*B2*D2*(C2-B2)*(C2-B2)*(C2-B2)</f>
        <v>-0.0005187040678787094</v>
      </c>
      <c r="BZ2" s="1">
        <f>-0.000000033651463*D2*D2*(C2-B2)*(C2-B2)*(C2-B2)</f>
        <v>-0.0011013481087108594</v>
      </c>
      <c r="CA2" s="1">
        <f>0.000000000135908359*B2*D2*D2*(C2-B2)*(C2-B2)*(C2-B2)</f>
        <v>-6.672031501690424E-05</v>
      </c>
      <c r="CB2" s="1">
        <f>0.00000000041703262*D2*D2*D2*(C2-B2)*(C2-B2)*(C2-B2)</f>
        <v>6.824340554045665E-05</v>
      </c>
      <c r="CC2" s="1">
        <f>-0.00000000130369025*(C2-B2)*(C2-B2)*(C2-B2)*(C2-B2)</f>
        <v>-1.8670184935686894E-05</v>
      </c>
      <c r="CD2" s="1">
        <f>0.000000000413908461*B2*(C2-B2)*(C2-B2)*(C2-B2)*(C2-B2)</f>
        <v>-8.891392161576201E-05</v>
      </c>
      <c r="CE2" s="1">
        <f>0.00000000000922652254*B2*B2*(C2-B2)*(C2-B2)*(C2-B2)*(C2-B2)</f>
        <v>2.97299902951593E-05</v>
      </c>
      <c r="CF2" s="1">
        <f>-0.00000000508220384*D2*(C2-B2)*(C2-B2)*(C2-B2)*(C2-B2)</f>
        <v>-0.00036391192452984165</v>
      </c>
      <c r="CG2" s="1">
        <f>-0.0000000000224730961*B2*D2*(C2-B2)*(C2-B2)*(C2-B2)*(C2-B2)</f>
        <v>2.413783835526483E-05</v>
      </c>
      <c r="CH2" s="1">
        <f>0.000000000117139133*D2*D2*(C2-B2)*(C2-B2)*(C2-B2)*(C2-B2)</f>
        <v>4.193882090312525E-05</v>
      </c>
      <c r="CI2" s="1">
        <f>0.000000000662154879*(C2-B2)*(C2-B2)*(C2-B2)*(C2-B2)*(C2-B2)</f>
        <v>0.00010373548369261542</v>
      </c>
      <c r="CJ2" s="1">
        <f>0.00000000000040386326*B2*(C2-B2)*(C2-B2)*(C2-B2)*(C2-B2)*(C2-B2)</f>
        <v>-9.490593201936481E-07</v>
      </c>
      <c r="CK2" s="1">
        <f>0.00000000000195087203*D2*(C2-B2)*(C2-B2)*(C2-B2)*(C2-B2)*(C2-B2)</f>
        <v>1.5281519480765203E-06</v>
      </c>
      <c r="CL2" s="1">
        <f>-0.00000000000473602469*(C2-B2)*(C2-B2)*(C2-B2)*(C2-B2)*(C2-B2)*(C2-B2)</f>
        <v>-8.116620885284512E-06</v>
      </c>
      <c r="CM2" s="1">
        <f>5.12733497*E2/10</f>
        <v>0.6855027145191033</v>
      </c>
      <c r="CN2" s="1">
        <f>-0.312788561*B2*E2/10</f>
        <v>0.6272773542900324</v>
      </c>
      <c r="CO2" s="1">
        <f>-0.0196701861*B2*B2*E2/10</f>
        <v>-0.5917094085419848</v>
      </c>
      <c r="CP2" s="1">
        <f>0.00099969087*B2*B2*B2*E2/10</f>
        <v>-0.4510835513237891</v>
      </c>
      <c r="CQ2" s="1">
        <f>0.00000951738512*B2*B2*B2*B2*E2/10</f>
        <v>0.06441695140087336</v>
      </c>
      <c r="CR2" s="1">
        <f>-0.000000466426341*B2*B2*B2*B2*B2*E2/10</f>
        <v>0.047354019872242255</v>
      </c>
      <c r="CS2" s="1">
        <f>0.548050612*D2*E2/10</f>
        <v>0.3663600919561687</v>
      </c>
      <c r="CT2" s="1">
        <f>-0.00330552823*B2*D2*E2/10</f>
        <v>0.0331451219957723</v>
      </c>
      <c r="CU2" s="1">
        <f>-0.0016411944*B2*B2*D2*E2/10</f>
        <v>-0.2468482409849741</v>
      </c>
      <c r="CV2" s="1">
        <f>-0.00000516670694*B2*B2*B2*D2*E2/10</f>
        <v>0.011656686007067703</v>
      </c>
      <c r="CW2" s="1">
        <f>0.000000952692432*B2*B2*B2*B2*D2*E2/10</f>
        <v>0.032240758001460305</v>
      </c>
      <c r="CX2" s="1">
        <f>-0.0429223622*D2*D2*E2/10</f>
        <v>-0.14346339752438758</v>
      </c>
      <c r="CY2" s="1">
        <f>0.00500845667*B2*D2*D2*E2/10</f>
        <v>-0.25110344820393427</v>
      </c>
      <c r="CZ2" s="1">
        <f>0.00000100601257*B2*B2*D2*D2*E2/10</f>
        <v>0.0007565600800041517</v>
      </c>
      <c r="DA2" s="1">
        <f>-0.00000181748644*B2*B2*B2*D2*D2*E2/10</f>
        <v>0.020502293820039354</v>
      </c>
      <c r="DB2" s="1">
        <f>-0.00125813502*D2*D2*D2*E2/10</f>
        <v>-0.02102590762276515</v>
      </c>
      <c r="DC2" s="1">
        <f>-0.000179330391*B2*D2*D2*D2*E2/10</f>
        <v>0.04495444656393501</v>
      </c>
      <c r="DD2" s="1">
        <f>0.00000234994441*B2*B2*D2*D2*D2*E2/10</f>
        <v>0.008836242129831981</v>
      </c>
      <c r="DE2" s="1">
        <f>0.000129735808*D2*D2*D2*D2*E2/10</f>
        <v>0.010840701001919471</v>
      </c>
      <c r="DF2" s="1">
        <f>0.0000012906487*B2*D2*D2*D2*D2*E2/10</f>
        <v>-0.0016176956313267113</v>
      </c>
      <c r="DG2" s="1">
        <f>-0.00000228558686*D2*D2*D2*D2*D2*E2/10</f>
        <v>-0.0009549161540342041</v>
      </c>
      <c r="DH2" s="1">
        <f>-0.0369476348*(C2-B2)*E2/10</f>
        <v>-0.054037802639999764</v>
      </c>
      <c r="DI2" s="1">
        <f>0.00162325322*B2*(C2-B2)*E2/10</f>
        <v>-0.03561136089438023</v>
      </c>
      <c r="DJ2" s="1">
        <f>-0.000031427968*B2*B2*(C2-B2)*E2/10</f>
        <v>-0.01034212681825174</v>
      </c>
      <c r="DK2" s="1">
        <f>0.00000259835559*B2*B2*B2*(C2-B2)*E2/10</f>
        <v>-0.012825768610315499</v>
      </c>
      <c r="DL2" s="1">
        <f>-0.0000000477136523*B2*B2*B2*B2*(C2-B2)*E2/10</f>
        <v>-0.0035327974333538847</v>
      </c>
      <c r="DM2" s="1">
        <f>0.0086420339*D2*(C2-B2)*E2/10</f>
        <v>0.06319707943746206</v>
      </c>
      <c r="DN2" s="1">
        <f>-0.000687405181*B2*D2*(C2-B2)*E2/10</f>
        <v>0.07540238848643023</v>
      </c>
      <c r="DO2" s="1">
        <f>-0.00000913863872*B2*B2*D2*(C2-B2)*E2/10</f>
        <v>-0.015036441520563115</v>
      </c>
      <c r="DP2" s="1">
        <f>0.000000515916806*B2*B2*B2*D2*(C2-B2)*E2/10</f>
        <v>-0.01273311012818117</v>
      </c>
      <c r="DQ2" s="1">
        <f>-0.0000359217476*D2*D2*(C2-B2)*E2/10</f>
        <v>-0.0013134347555670094</v>
      </c>
      <c r="DR2" s="1">
        <f>0.0000328696511*B2*D2*D2*(C2-B2)*E2/10</f>
        <v>-0.018027578713111406</v>
      </c>
      <c r="DS2" s="1">
        <f>-0.000000710542454*B2*B2*D2*D2*(C2-B2)*E2/10</f>
        <v>-0.005845526004910504</v>
      </c>
      <c r="DT2" s="1">
        <f>-0.00001243823*D2*D2*D2*(C2-B2)*E2/10</f>
        <v>-0.002273943317242205</v>
      </c>
      <c r="DU2" s="1">
        <f>-0.000000007385844*B2*D2*D2*D2*(C2-B2)*E2/10</f>
        <v>2.025407627049038E-05</v>
      </c>
      <c r="DV2" s="1">
        <f>0.000000220609296*D2*D2*D2*D2*(C2-B2)*E2/10</f>
        <v>0.00020165772556091484</v>
      </c>
      <c r="DW2" s="1">
        <f>-0.00073246918*(C2-B2)*(C2-B2)*E2/10</f>
        <v>-0.011719091489840214</v>
      </c>
      <c r="DX2" s="1">
        <f>-0.0000187381964*B2*(C2-B2)*(C2-B2)*E2/10</f>
        <v>0.0044970077368892405</v>
      </c>
      <c r="DY2" s="1">
        <f>0.00000480925239*B2*B2*(C2-B2)*(C2-B2)*E2/10</f>
        <v>0.017312694945242763</v>
      </c>
      <c r="DZ2" s="1">
        <f>-0.000000087549204*B2*B2*B2*(C2-B2)*(C2-B2)*E2/10</f>
        <v>0.0047274894473280935</v>
      </c>
      <c r="EA2" s="1">
        <f>0.000027786293*D2*(C2-B2)*(C2-B2)*E2/10</f>
        <v>0.0022228246506597505</v>
      </c>
      <c r="EB2" s="1">
        <f>-0.00000506004592*B2*D2*(C2-B2)*(C2-B2)*E2/10</f>
        <v>0.00607183988402823</v>
      </c>
      <c r="EC2" s="1">
        <f>0.000000114325367*B2*B2*D2*(C2-B2)*(C2-B2)*E2/10</f>
        <v>0.0020577836666354743</v>
      </c>
      <c r="ED2" s="1">
        <f>0.00000253016723*D2*D2*(C2-B2)*(C2-B2)*E2/10</f>
        <v>0.001012031019959283</v>
      </c>
      <c r="EE2" s="1">
        <f>-0.0000000172857035*B2*D2*D2*(C2-B2)*(C2-B2)*E2/10</f>
        <v>0.00010371054491812436</v>
      </c>
      <c r="EF2" s="1">
        <f>-0.0000000395079398*D2*D2*D2*(C2-B2)*(C2-B2)*E2/10</f>
        <v>-7.901307893447809E-05</v>
      </c>
      <c r="EG2" s="1">
        <f>-0.000000359413173*(C2-B2)*(C2-B2)*(C2-B2)*E2/10</f>
        <v>-6.290600863828419E-05</v>
      </c>
      <c r="EH2" s="1">
        <f>0.000000704388046*B2*(C2-B2)*(C2-B2)*(C2-B2)*E2/10</f>
        <v>-0.001849274477192582</v>
      </c>
      <c r="EI2" s="1">
        <f>-0.0000000189309167*B2*B2*(C2-B2)*(C2-B2)*(C2-B2)*E2/10</f>
        <v>-0.0007455079898495782</v>
      </c>
      <c r="EJ2" s="1">
        <f>-0.000000479768731*D2*(C2-B2)*(C2-B2)*(C2-B2)*E2/10</f>
        <v>-0.00041985572878076817</v>
      </c>
      <c r="EK2" s="1">
        <f>0.00000000796079978*B2*D2*(C2-B2)*(C2-B2)*(C2-B2)*E2/10</f>
        <v>-0.00010449995520788781</v>
      </c>
      <c r="EL2" s="1">
        <f>0.00000000162897058*D2*D2*(C2-B2)*(C2-B2)*(C2-B2)*E2/10</f>
        <v>7.127732445201086E-06</v>
      </c>
      <c r="EM2" s="1">
        <f>0.0000000394367674*(C2-B2)*(C2-B2)*(C2-B2)*(C2-B2)*E2/10</f>
        <v>7.550800557303854E-05</v>
      </c>
      <c r="EN2" s="1">
        <f>-0.00000000118566247*B2*(C2-B2)*(C2-B2)*(C2-B2)*(C2-B2)*E2/10</f>
        <v>3.405210960286617E-05</v>
      </c>
      <c r="EO2" s="1">
        <f>0.000000000334678041*D2*(C2-B2)*(C2-B2)*(C2-B2)*(C2-B2)*E2/10</f>
        <v>3.2039734809757274E-06</v>
      </c>
      <c r="EP2" s="1">
        <f>-0.000000000115606447*(C2-B2)*(C2-B2)*(C2-B2)*(C2-B2)*(C2-B2)*E2/10</f>
        <v>-2.421404219001304E-06</v>
      </c>
      <c r="EQ2" s="1">
        <f>-2.80626406*E2/10*E2/10</f>
        <v>-0.05016069095391932</v>
      </c>
      <c r="ER2" s="1">
        <f>0.548712484*B2*E2/10*E2/10</f>
        <v>-0.14711978315655044</v>
      </c>
      <c r="ES2" s="1">
        <f>-0.0039942841*B2*B2*E2/10*E2/10</f>
        <v>-0.01606410172338062</v>
      </c>
      <c r="ET2" s="1">
        <f>-0.000954009191*B2*B2*B2*E2/10*E2/10</f>
        <v>0.05755211812273463</v>
      </c>
      <c r="EU2" s="1">
        <f>0.0000193090978*B2*B2*B2*B2*E2/10*E2/10</f>
        <v>0.0174727794225575</v>
      </c>
      <c r="EV2" s="1">
        <f>-0.308806365*D2*E2/10*E2/10</f>
        <v>-0.0275988650892821</v>
      </c>
      <c r="EW2" s="1">
        <f>0.0116952364*B2*D2*E2/10*E2/10</f>
        <v>-0.0156785264897727</v>
      </c>
      <c r="EX2" s="1">
        <f>0.000495271903*B2*B2*D2*E2/10*E2/10</f>
        <v>0.009959354456690123</v>
      </c>
      <c r="EY2" s="1">
        <f>-0.0000190710882*B2*B2*B2*D2*E2/10*E2/10</f>
        <v>0.005752468273733278</v>
      </c>
      <c r="EZ2" s="1">
        <f>0.00210787756*D2*D2*E2/10*E2/10</f>
        <v>0.0009419337649203755</v>
      </c>
      <c r="FA2" s="1">
        <f>-0.000698445738*B2*D2*D2*E2/10*E2/10</f>
        <v>0.004681649703507423</v>
      </c>
      <c r="FB2" s="1">
        <f>0.0000230109073*B2*B2*D2*D2*E2/10*E2/10</f>
        <v>0.0023136158217594086</v>
      </c>
      <c r="FC2" s="1">
        <f>0.00041785659*D2*D2*D2*E2/10*E2/10</f>
        <v>0.0009336245104660862</v>
      </c>
      <c r="FD2" s="1">
        <f>-0.0000127043871*B2*D2*D2*D2*E2/10*E2/10</f>
        <v>0.00042578461621279543</v>
      </c>
      <c r="FE2" s="1">
        <f>-0.00000304620472*D2*D2*D2*D2*E2/10*E2/10</f>
        <v>-3.403095055278991E-05</v>
      </c>
      <c r="FF2" s="1">
        <f>0.0514507424*(C2-B2)*E2/10*E2/10</f>
        <v>0.01006051405713668</v>
      </c>
      <c r="FG2" s="1">
        <f>-0.00432510997*B2*(C2-B2)*E2/10*E2/10</f>
        <v>0.012685773116807447</v>
      </c>
      <c r="FH2" s="1">
        <f>0.0000899281156*B2*B2*(C2-B2)*E2/10*E2/10</f>
        <v>0.0039564577984255245</v>
      </c>
      <c r="FI2" s="1">
        <f>-0.000000714663943*B2*B2*B2*(C2-B2)*E2/10*E2/10</f>
        <v>0.0004716329890274968</v>
      </c>
      <c r="FJ2" s="1">
        <f>-0.000266016305*D2*(C2-B2)*E2/10*E2/10</f>
        <v>-0.0002600798988548763</v>
      </c>
      <c r="FK2" s="1">
        <f>0.000263789586*B2*D2*(C2-B2)*E2/10*E2/10</f>
        <v>-0.0038685430680188765</v>
      </c>
      <c r="FL2" s="1">
        <f>-0.00000701199003*B2*B2*D2*(C2-B2)*E2/10*E2/10</f>
        <v>-0.001542489934965096</v>
      </c>
      <c r="FM2" s="1">
        <f>-0.000106823306*D2*D2*(C2-B2)*E2/10*E2/10</f>
        <v>-0.0005221972130584907</v>
      </c>
      <c r="FN2" s="1">
        <f>0.00000361341136*B2*D2*D2*(C2-B2)*E2/10*E2/10</f>
        <v>-0.0002649580993813126</v>
      </c>
      <c r="FO2" s="1">
        <f>0.000000229748967*D2*D2*D2*(C2-B2)*E2/10*E2/10</f>
        <v>5.615547522488547E-06</v>
      </c>
      <c r="FP2" s="1">
        <f>0.000304788893*(C2-B2)*(C2-B2)*E2/10*E2/10</f>
        <v>0.0006519603941326704</v>
      </c>
      <c r="FQ2" s="1">
        <f>-0.0000642070836*B2*(C2-B2)*(C2-B2)*E2/10*E2/10</f>
        <v>0.002060137844161795</v>
      </c>
      <c r="FR2" s="1">
        <f>0.00000116257971*B2*B2*(C2-B2)*(C2-B2)*E2/10*E2/10</f>
        <v>0.0005595350987314531</v>
      </c>
      <c r="FS2" s="1">
        <f>0.00000768023384*D2*(C2-B2)*(C2-B2)*E2/10*E2/10</f>
        <v>8.214223674741116E-05</v>
      </c>
      <c r="FT2" s="1">
        <f>-0.000000547446896*B2*D2*(C2-B2)*(C2-B2)*E2/10*E2/10</f>
        <v>8.782645191803309E-05</v>
      </c>
      <c r="FU2" s="1">
        <f>-0.000000035993791*D2*D2*(C2-B2)*(C2-B2)*E2/10*E2/10</f>
        <v>-1.924818022050509E-06</v>
      </c>
      <c r="FV2" s="1">
        <f>-0.00000436497725*(C2-B2)*(C2-B2)*(C2-B2)*E2/10*E2/10</f>
        <v>-0.00010214041360989119</v>
      </c>
      <c r="FW2" s="1">
        <f>0.000000168737969*B2*(C2-B2)*(C2-B2)*(C2-B2)*E2/10*E2/10</f>
        <v>-5.922699578337895E-05</v>
      </c>
      <c r="FX2" s="1">
        <f>0.0000000267489271*D2*(C2-B2)*(C2-B2)*(C2-B2)*E2/10*E2/10</f>
        <v>3.1296228148896163E-06</v>
      </c>
      <c r="FY2" s="1">
        <f>0.00000000323926897*(C2-B2)*(C2-B2)*(C2-B2)*(C2-B2)*E2/10*E2/10</f>
        <v>8.291940727251993E-07</v>
      </c>
      <c r="FZ2" s="1">
        <f>-0.0353874123*E2/10*E2/10*E2/10</f>
        <v>-8.456706729894318E-05</v>
      </c>
      <c r="GA2" s="1">
        <f>-0.22120119*B2*E2/10*E2/10*E2/10</f>
        <v>0.007929233040304696</v>
      </c>
      <c r="GB2" s="1">
        <f>0.0155126038*B2*B2*E2/10*E2/10*E2/10</f>
        <v>0.008341029986691045</v>
      </c>
      <c r="GC2" s="1">
        <f>-0.000263917279*B2*B2*B2*E2/10*E2/10*E2/10</f>
        <v>0.0021286000401927107</v>
      </c>
      <c r="GD2" s="1">
        <f>0.0453433455*D2*E2/10*E2/10*E2/10</f>
        <v>0.0005417962915668934</v>
      </c>
      <c r="GE2" s="1">
        <f>-0.00432943862*B2*D2*E2/10*E2/10*E2/10</f>
        <v>0.0007759706842371684</v>
      </c>
      <c r="GF2" s="1">
        <f>0.000145389826*B2*B2*D2*E2/10*E2/10*E2/10</f>
        <v>0.0003908759980145285</v>
      </c>
      <c r="GG2" s="1">
        <f>0.00021750861*D2*D2*E2/10*E2/10*E2/10</f>
        <v>1.2994779827380594E-05</v>
      </c>
      <c r="GH2" s="1">
        <f>-0.0000666724702*B2*D2*D2*E2/10*E2/10*E2/10</f>
        <v>5.9748949993055E-05</v>
      </c>
      <c r="GI2" s="1">
        <f>0.000033321714*D2*D2*D2*E2/10*E2/10*E2/10</f>
        <v>9.95382060739907E-06</v>
      </c>
      <c r="GJ2" s="1">
        <f>-0.00226921615*(C2-B2)*E2/10*E2/10*E2/10</f>
        <v>-5.932283264042512E-05</v>
      </c>
      <c r="GK2" s="1">
        <f>0.000380261982*B2*(C2-B2)*E2/10*E2/10*E2/10</f>
        <v>-0.00014911460451466255</v>
      </c>
      <c r="GL2" s="1">
        <f>-0.00000000545314314*B2*B2*(C2-B2)*E2/10*E2/10*E2/10</f>
        <v>-3.2075647363149175E-08</v>
      </c>
      <c r="GM2" s="1">
        <f>-0.000796355448*D2*(C2-B2)*E2/10*E2/10*E2/10</f>
        <v>-0.00010409334730848527</v>
      </c>
      <c r="GN2" s="1">
        <f>0.0000253458034*B2*D2*(C2-B2)*E2/10*E2/10*E2/10</f>
        <v>-4.9695073778074807E-05</v>
      </c>
      <c r="GO2" s="1">
        <f>-0.00000631223658*D2*D2*(C2-B2)*E2/10*E2/10*E2/10</f>
        <v>-4.1254306495010336E-06</v>
      </c>
      <c r="GP2" s="1">
        <f>0.000302122035*(C2-B2)*(C2-B2)*E2/10*E2/10*E2/10</f>
        <v>8.640163609675733E-05</v>
      </c>
      <c r="GQ2" s="1">
        <f>-0.00000477403547*B2*(C2-B2)*(C2-B2)*E2/10*E2/10*E2/10</f>
        <v>2.0479364012225315E-05</v>
      </c>
      <c r="GR2" s="1">
        <f>0.00000173825715*D2*(C2-B2)*(C2-B2)*E2/10*E2/10*E2/10</f>
        <v>2.4855562375132045E-06</v>
      </c>
      <c r="GS2" s="1">
        <f>-0.000000409087898*(C2-B2)*(C2-B2)*(C2-B2)*E2/10*E2/10*E2/10</f>
        <v>-1.2798225193322375E-06</v>
      </c>
      <c r="GT2" s="1">
        <f>0.614155345*E2/10*E2/10*E2/10*E2/10</f>
        <v>0.0001962222212798863</v>
      </c>
      <c r="GU2" s="1">
        <f>-0.0616755931*B2*E2/10*E2/10*E2/10*E2/10</f>
        <v>0.00029557966014697216</v>
      </c>
      <c r="GV2" s="1">
        <f>0.00133374846*B2*B2*E2/10*E2/10*E2/10*E2/10</f>
        <v>9.587964137348868E-05</v>
      </c>
      <c r="GW2" s="1">
        <f>0.00355375387*D2*E2/10*E2/10*E2/10*E2/10</f>
        <v>5.677109903304615E-06</v>
      </c>
      <c r="GX2" s="1">
        <f>-0.000513027851*B2*D2*E2/10*E2/10*E2/10*E2/10</f>
        <v>1.2293404102222688E-05</v>
      </c>
      <c r="GY2" s="1">
        <f>0.000102449757*D2*D2*E2/10*E2/10*E2/10*E2/10</f>
        <v>8.183157181561524E-07</v>
      </c>
      <c r="GZ2" s="1">
        <f>-0.00148526421*(C2-B2)*E2/10*E2/10*E2/10*E2/10</f>
        <v>-5.191193513854893E-06</v>
      </c>
      <c r="HA2" s="1">
        <f>-0.0000411469183*B2*(C2-B2)*E2/10*E2/10*E2/10*E2/10</f>
        <v>2.1572082659361714E-06</v>
      </c>
      <c r="HB2" s="1">
        <f>-0.00000680434415*D2*(C2-B2)*E2/10*E2/10*E2/10*E2/10</f>
        <v>-1.1891038301366079E-07</v>
      </c>
      <c r="HC2" s="1">
        <f>-0.00000977675906*(C2-B2)*(C2-B2)*E2/10*E2/10*E2/10*E2/10</f>
        <v>-3.738109039652253E-07</v>
      </c>
      <c r="HD2" s="1">
        <f>0.0882773108*E2/10*E2/10*E2/10*E2/10*E2/10</f>
        <v>3.770826361619E-06</v>
      </c>
      <c r="HE2" s="1">
        <f>-0.00301859306*B2*E2/10*E2/10*E2/10*E2/10*E2/10</f>
        <v>1.9341193420758636E-06</v>
      </c>
      <c r="HF2" s="1">
        <f>0.00104452989*D2*E2/10*E2/10*E2/10*E2/10*E2/10</f>
        <v>2.2308908195190486E-07</v>
      </c>
      <c r="HG2" s="1">
        <f>0.000247090539*(C2-B2)*E2/10*E2/10*E2/10*E2/10*E2/10</f>
        <v>1.1546147656873412E-07</v>
      </c>
      <c r="HH2" s="1">
        <f>0.00148348065*E2/10*E2/10*E2/10*E2/10*E2/10*E2/10</f>
        <v>8.472016904758641E-09</v>
      </c>
    </row>
    <row r="3" spans="1:216" s="1" customFormat="1" ht="51">
      <c r="A3" s="2" t="s">
        <v>6</v>
      </c>
      <c r="B3">
        <f>Calculations!B17</f>
        <v>-15</v>
      </c>
      <c r="C3">
        <f>Calculations!O5</f>
        <v>-19.88394991682341</v>
      </c>
      <c r="D3">
        <f>Calculations!B19</f>
        <v>5</v>
      </c>
      <c r="E3">
        <f>Calculations!F3</f>
        <v>1.3369571493377648</v>
      </c>
      <c r="F3" s="1">
        <f>B3+SUM(G3:HH3)</f>
        <v>-34.3726496923573</v>
      </c>
      <c r="G3" s="1">
        <f>0.607562052</f>
        <v>0.607562052</v>
      </c>
      <c r="H3" s="1">
        <f>-0.0227712343*B3</f>
        <v>0.3415685145</v>
      </c>
      <c r="I3" s="1">
        <f>0.000806470249*B3*B3</f>
        <v>0.181455806025</v>
      </c>
      <c r="J3" s="1">
        <f>-0.000154271372*B3*B3*B3</f>
        <v>0.5206658805</v>
      </c>
      <c r="K3" s="1">
        <f>-0.00000324651735*B3*B3*B3*B3</f>
        <v>-0.16435494084375</v>
      </c>
      <c r="L3" s="1">
        <f>0.0000000732602852*B3*B3*B3*B3*B3</f>
        <v>-0.05563202907375</v>
      </c>
      <c r="M3" s="1">
        <f>0.00000000135959073*B3*B3*B3*B3*B3*B3</f>
        <v>0.015486588158906252</v>
      </c>
      <c r="N3" s="1">
        <f>-2.2583652*D3</f>
        <v>-11.291826</v>
      </c>
      <c r="O3" s="1">
        <f>0.0880326035*B3*D3</f>
        <v>-6.6024452625</v>
      </c>
      <c r="P3" s="1">
        <f>0.00216844454*B3*B3*D3</f>
        <v>2.4395001075</v>
      </c>
      <c r="Q3" s="1">
        <f>-0.0000153347087*B3*B3*B3*D3</f>
        <v>0.2587732093125</v>
      </c>
      <c r="R3" s="1">
        <f>-0.000000572983704*B3*B3*B3*B3*D3</f>
        <v>-0.14503650007500002</v>
      </c>
      <c r="S3" s="1">
        <f>-0.00000000255090145*B3*B3*B3*B3*B3*D3</f>
        <v>0.009685453942968752</v>
      </c>
      <c r="T3" s="1">
        <f>-0.751269505*D3*D3</f>
        <v>-18.781737624999998</v>
      </c>
      <c r="U3" s="1">
        <f>-0.00408350271*B3*D3*D3</f>
        <v>1.53131351625</v>
      </c>
      <c r="V3" s="1">
        <f>-0.0000521670675*B3*B3*D3*D3</f>
        <v>-0.2934397546875</v>
      </c>
      <c r="W3" s="1">
        <f>0.00000194544667*B3*B3*B3*D3*D3</f>
        <v>-0.16414706278125</v>
      </c>
      <c r="X3" s="1">
        <f>0.0000000114099531*B3*B3*B3*B3*D3*D3</f>
        <v>0.014440721892187498</v>
      </c>
      <c r="Y3" s="1">
        <f>0.158137256*D3*D3*D3</f>
        <v>19.767157</v>
      </c>
      <c r="Z3" s="1">
        <f>-0.0000657263143*B3*D3*D3*D3</f>
        <v>0.12323683931249999</v>
      </c>
      <c r="AA3" s="1">
        <f>0.000000222697524*B3*B3*D3*D3*D3</f>
        <v>0.006263367862499999</v>
      </c>
      <c r="AB3" s="1">
        <f>-0.0000000416117031*B3*B3*B3*D3*D3*D3</f>
        <v>0.0175549372453125</v>
      </c>
      <c r="AC3" s="1">
        <f>-0.0127762753*D3*D3*D3*D3</f>
        <v>-7.985172062500001</v>
      </c>
      <c r="AD3" s="1">
        <f>0.00000966891875*B3*D3*D3*D3*D3</f>
        <v>-0.09064611328125</v>
      </c>
      <c r="AE3" s="1">
        <f>0.00000000252785852*B3*B3*D3*D3*D3*D3</f>
        <v>0.000355480104375</v>
      </c>
      <c r="AF3" s="1">
        <f>0.000456306672*D3*D3*D3*D3*D3</f>
        <v>1.4259583500000002</v>
      </c>
      <c r="AG3" s="1">
        <f>-0.000000174202546*B3*D3*D3*D3*D3*D3</f>
        <v>0.008165744343750002</v>
      </c>
      <c r="AH3" s="1">
        <f>-0.00000591491269*D3*D3*D3*D3*D3*D3</f>
        <v>-0.09242051078124999</v>
      </c>
      <c r="AI3" s="1">
        <f>0.398374029*(C3-B3)</f>
        <v>-1.9456388057991574</v>
      </c>
      <c r="AJ3" s="1">
        <f>0.000183945314*B3*(C3-B3)</f>
        <v>0.013475695515155343</v>
      </c>
      <c r="AK3" s="1">
        <f>-0.00017375451*B3*B3*(C3-B3)</f>
        <v>0.19093687304899332</v>
      </c>
      <c r="AL3" s="1">
        <f>-0.000000760781159*B3*B3*B3*(C3-B3)</f>
        <v>-0.012540207638988683</v>
      </c>
      <c r="AM3" s="1">
        <f>0.0000000377830287*B3*B3*B3*B3*(C3-B3)</f>
        <v>-0.009341852506258018</v>
      </c>
      <c r="AN3" s="1">
        <f>0.000000000543079673*B3*B3*B3*B3*B3*(C3-B3)</f>
        <v>0.002014146448368034</v>
      </c>
      <c r="AO3" s="1">
        <f>-0.0200518269*D3*(C3-B3)</f>
        <v>0.4896605916020622</v>
      </c>
      <c r="AP3" s="1">
        <f>0.000892859837*B3*D3*(C3-B3)</f>
        <v>0.32705120449883357</v>
      </c>
      <c r="AQ3" s="1">
        <f>0.00000345433048*B3*B3*D3*(C3-B3)</f>
        <v>-0.01897962419303615</v>
      </c>
      <c r="AR3" s="1">
        <f>-0.000000377925774*B3*B3*B3*D3*(C3-B3)</f>
        <v>-0.03114737807331471</v>
      </c>
      <c r="AS3" s="1">
        <f>-0.00000000169699377*B3*B3*B3*B3*D3*(C3-B3)</f>
        <v>0.002097908247278591</v>
      </c>
      <c r="AT3" s="1">
        <f>0.000169992415*D3*D3*(C3-B3)</f>
        <v>-0.02075586102749652</v>
      </c>
      <c r="AU3" s="1">
        <f>-0.0000499204314*B3*D3*D3*(C3-B3)</f>
        <v>-0.09142833254393205</v>
      </c>
      <c r="AV3" s="1">
        <f>0.000000247417178*B3*B3*D3*D3*(C3-B3)</f>
        <v>-0.006797098720765031</v>
      </c>
      <c r="AW3" s="1">
        <f>0.0000000107596466*B3*B3*B3*D3*D3*(C3-B3)</f>
        <v>0.0044338704005069405</v>
      </c>
      <c r="AX3" s="1">
        <f>0.0000849242932*D3*D3*D3*(C3-B3)</f>
        <v>-0.05184574933880338</v>
      </c>
      <c r="AY3" s="1">
        <f>0.00000135191328*B3*D3*D3*D3*(C3-B3)</f>
        <v>0.01238001890889087</v>
      </c>
      <c r="AZ3" s="1">
        <f>-0.00000000621531254*B3*B3*D3*D3*D3*(C3-B3)</f>
        <v>0.0008537421139527517</v>
      </c>
      <c r="BA3" s="1">
        <f>-0.00000499410301*D3*D3*D3*D3*(C3-B3)</f>
        <v>0.015244343112685653</v>
      </c>
      <c r="BB3" s="1">
        <f>-0.0000000189489258*B3*D3*D3*D3*D3*(C3-B3)</f>
        <v>-0.000867615042982528</v>
      </c>
      <c r="BC3" s="1">
        <f>0.0000000815300114*D3*D3*D3*D3*D3*(C3-B3)</f>
        <v>-0.0012443390387363805</v>
      </c>
      <c r="BD3" s="1">
        <f>0.00075504309*(C3-B3)*(C3-B3)</f>
        <v>0.018010017750818733</v>
      </c>
      <c r="BE3" s="1">
        <f>-0.0000565095215*B3*(C3-B3)*(C3-B3)</f>
        <v>0.020218796094907766</v>
      </c>
      <c r="BF3" s="1">
        <f>-0.000000452166564*B3*B3*(C3-B3)*(C3-B3)</f>
        <v>-0.002426740657798101</v>
      </c>
      <c r="BG3" s="1">
        <f>0.0000000246688878*B3*B3*B3*(C3-B3)*(C3-B3)</f>
        <v>-0.0019859382948620528</v>
      </c>
      <c r="BH3" s="1">
        <f>0.000000000242674348*B3*B3*B3*B3*(C3-B3)*(C3-B3)</f>
        <v>0.0002930429726591973</v>
      </c>
      <c r="BI3" s="1">
        <f>0.00015454725*D3*(C3-B3)*(C3-B3)</f>
        <v>0.018432052108709587</v>
      </c>
      <c r="BJ3" s="1">
        <f>0.0000052411097*B3*D3*(C3-B3)*(C3-B3)</f>
        <v>-0.009376201171279004</v>
      </c>
      <c r="BK3" s="1">
        <f>-0.0000000875874982*B3*B3*D3*(C3-B3)*(C3-B3)</f>
        <v>-0.002350374396510641</v>
      </c>
      <c r="BL3" s="1">
        <f>-0.00000000150743064*B3*B3*B3*D3*(C3-B3)*(C3-B3)</f>
        <v>0.0006067691942772575</v>
      </c>
      <c r="BM3" s="1">
        <f>-0.0000156236307*D3*D3*(C3-B3)*(C3-B3)</f>
        <v>-0.009316748605673502</v>
      </c>
      <c r="BN3" s="1">
        <f>-0.000000133895614*B3*D3*D3*(C3-B3)*(C3-B3)</f>
        <v>0.0011976778627777256</v>
      </c>
      <c r="BO3" s="1">
        <f>0.00000000249709824*B3*B3*D3*D3*(C3-B3)*(C3-B3)</f>
        <v>0.0003350430078197954</v>
      </c>
      <c r="BP3" s="1">
        <f>0.000000651711721*D3*D3*D3*(C3-B3)*(C3-B3)</f>
        <v>0.0019431572547115533</v>
      </c>
      <c r="BQ3" s="1">
        <f>0.00000000194960053*B3*D3*D3*D3*(C3-B3)*(C3-B3)</f>
        <v>-8.71945438048748E-05</v>
      </c>
      <c r="BR3" s="1">
        <f>-0.0000000100361113*D3*D3*D3*D3*(C3-B3)*(C3-B3)</f>
        <v>-0.00014961939346252456</v>
      </c>
      <c r="BS3" s="1">
        <f>-0.0000121206673*(C3-B3)*(C3-B3)*(C3-B3)</f>
        <v>0.0014120176837075663</v>
      </c>
      <c r="BT3" s="1">
        <f>-0.00000021820366*B3*(C3-B3)*(C3-B3)*(C3-B3)</f>
        <v>-0.00038130007896064434</v>
      </c>
      <c r="BU3" s="1">
        <f>0.00000000751269482*B3*B3*(C3-B3)*(C3-B3)*(C3-B3)</f>
        <v>-0.0001969209266292708</v>
      </c>
      <c r="BV3" s="1">
        <f>0.0000000000979063848*B3*B3*B3*(C3-B3)*(C3-B3)*(C3-B3)</f>
        <v>3.849447464526042E-05</v>
      </c>
      <c r="BW3" s="1">
        <f>0.00000125006734*D3*(C3-B3)*(C3-B3)*(C3-B3)</f>
        <v>-0.0007281435692510421</v>
      </c>
      <c r="BX3" s="1">
        <f>-0.00000000181584736*B3*D3*(C3-B3)*(C3-B3)*(C3-B3)</f>
        <v>-1.586551622801555E-05</v>
      </c>
      <c r="BY3" s="1">
        <f>-0.000000000352197671*B3*B3*D3*(C3-B3)*(C3-B3)*(C3-B3)</f>
        <v>4.6158597807910875E-05</v>
      </c>
      <c r="BZ3" s="1">
        <f>-0.000000033651463*D3*D3*(C3-B3)*(C3-B3)*(C3-B3)</f>
        <v>9.800710567856042E-05</v>
      </c>
      <c r="CA3" s="1">
        <f>0.000000000135908359*B3*D3*D3*(C3-B3)*(C3-B3)*(C3-B3)</f>
        <v>5.937328001064647E-06</v>
      </c>
      <c r="CB3" s="1">
        <f>0.00000000041703262*D3*D3*D3*(C3-B3)*(C3-B3)*(C3-B3)</f>
        <v>-6.072865251021467E-06</v>
      </c>
      <c r="CC3" s="1">
        <f>-0.00000000130369025*(C3-B3)*(C3-B3)*(C3-B3)*(C3-B3)</f>
        <v>-7.417528515848398E-07</v>
      </c>
      <c r="CD3" s="1">
        <f>0.000000000413908461*B3*(C3-B3)*(C3-B3)*(C3-B3)*(C3-B3)</f>
        <v>-3.5324853573367115E-06</v>
      </c>
      <c r="CE3" s="1">
        <f>0.00000000000922652254*B3*B3*(C3-B3)*(C3-B3)*(C3-B3)*(C3-B3)</f>
        <v>1.1811508645997619E-06</v>
      </c>
      <c r="CF3" s="1">
        <f>-0.00000000508220384*D3*(C3-B3)*(C3-B3)*(C3-B3)*(C3-B3)</f>
        <v>-1.445795575542359E-05</v>
      </c>
      <c r="CG3" s="1">
        <f>-0.0000000000224730961*B3*D3*(C3-B3)*(C3-B3)*(C3-B3)*(C3-B3)</f>
        <v>9.589787403170622E-07</v>
      </c>
      <c r="CH3" s="1">
        <f>0.000000000117139133*D3*D3*(C3-B3)*(C3-B3)*(C3-B3)*(C3-B3)</f>
        <v>1.6661988139998327E-06</v>
      </c>
      <c r="CI3" s="1">
        <f>0.000000000662154879*(C3-B3)*(C3-B3)*(C3-B3)*(C3-B3)*(C3-B3)</f>
        <v>-1.8399905487866367E-06</v>
      </c>
      <c r="CJ3" s="1">
        <f>0.00000000000040386326*B3*(C3-B3)*(C3-B3)*(C3-B3)*(C3-B3)*(C3-B3)</f>
        <v>1.6833778734464928E-08</v>
      </c>
      <c r="CK3" s="1">
        <f>0.00000000000195087203*D3*(C3-B3)*(C3-B3)*(C3-B3)*(C3-B3)*(C3-B3)</f>
        <v>-2.7105336009252596E-08</v>
      </c>
      <c r="CL3" s="1">
        <f>-0.00000000000473602469*(C3-B3)*(C3-B3)*(C3-B3)*(C3-B3)*(C3-B3)*(C3-B3)</f>
        <v>-6.427486429154564E-08</v>
      </c>
      <c r="CM3" s="1">
        <f>5.12733497*E3/10</f>
        <v>0.6855027145191033</v>
      </c>
      <c r="CN3" s="1">
        <f>-0.312788561*B3*E3/10</f>
        <v>0.6272773542900324</v>
      </c>
      <c r="CO3" s="1">
        <f>-0.0196701861*B3*B3*E3/10</f>
        <v>-0.5917094085419848</v>
      </c>
      <c r="CP3" s="1">
        <f>0.00099969087*B3*B3*B3*E3/10</f>
        <v>-0.4510835513237891</v>
      </c>
      <c r="CQ3" s="1">
        <f>0.00000951738512*B3*B3*B3*B3*E3/10</f>
        <v>0.06441695140087336</v>
      </c>
      <c r="CR3" s="1">
        <f>-0.000000466426341*B3*B3*B3*B3*B3*E3/10</f>
        <v>0.047354019872242255</v>
      </c>
      <c r="CS3" s="1">
        <f>0.548050612*D3*E3/10</f>
        <v>0.3663600919561687</v>
      </c>
      <c r="CT3" s="1">
        <f>-0.00330552823*B3*D3*E3/10</f>
        <v>0.0331451219957723</v>
      </c>
      <c r="CU3" s="1">
        <f>-0.0016411944*B3*B3*D3*E3/10</f>
        <v>-0.2468482409849741</v>
      </c>
      <c r="CV3" s="1">
        <f>-0.00000516670694*B3*B3*B3*D3*E3/10</f>
        <v>0.011656686007067703</v>
      </c>
      <c r="CW3" s="1">
        <f>0.000000952692432*B3*B3*B3*B3*D3*E3/10</f>
        <v>0.032240758001460305</v>
      </c>
      <c r="CX3" s="1">
        <f>-0.0429223622*D3*D3*E3/10</f>
        <v>-0.14346339752438758</v>
      </c>
      <c r="CY3" s="1">
        <f>0.00500845667*B3*D3*D3*E3/10</f>
        <v>-0.25110344820393427</v>
      </c>
      <c r="CZ3" s="1">
        <f>0.00000100601257*B3*B3*D3*D3*E3/10</f>
        <v>0.0007565600800041517</v>
      </c>
      <c r="DA3" s="1">
        <f>-0.00000181748644*B3*B3*B3*D3*D3*E3/10</f>
        <v>0.020502293820039354</v>
      </c>
      <c r="DB3" s="1">
        <f>-0.00125813502*D3*D3*D3*E3/10</f>
        <v>-0.02102590762276515</v>
      </c>
      <c r="DC3" s="1">
        <f>-0.000179330391*B3*D3*D3*D3*E3/10</f>
        <v>0.04495444656393501</v>
      </c>
      <c r="DD3" s="1">
        <f>0.00000234994441*B3*B3*D3*D3*D3*E3/10</f>
        <v>0.008836242129831981</v>
      </c>
      <c r="DE3" s="1">
        <f>0.000129735808*D3*D3*D3*D3*E3/10</f>
        <v>0.010840701001919471</v>
      </c>
      <c r="DF3" s="1">
        <f>0.0000012906487*B3*D3*D3*D3*D3*E3/10</f>
        <v>-0.0016176956313267113</v>
      </c>
      <c r="DG3" s="1">
        <f>-0.00000228558686*D3*D3*D3*D3*D3*E3/10</f>
        <v>-0.0009549161540342041</v>
      </c>
      <c r="DH3" s="1">
        <f>-0.0369476348*(C3-B3)*E3/10</f>
        <v>0.024125444958432173</v>
      </c>
      <c r="DI3" s="1">
        <f>0.00162325322*B3*(C3-B3)*E3/10</f>
        <v>0.015898868665623407</v>
      </c>
      <c r="DJ3" s="1">
        <f>-0.000031427968*B3*B3*(C3-B3)*E3/10</f>
        <v>0.004617293803915094</v>
      </c>
      <c r="DK3" s="1">
        <f>0.00000259835559*B3*B3*B3*(C3-B3)*E3/10</f>
        <v>0.005726127998193433</v>
      </c>
      <c r="DL3" s="1">
        <f>-0.0000000477136523*B3*B3*B3*B3*(C3-B3)*E3/10</f>
        <v>0.001577234933024101</v>
      </c>
      <c r="DM3" s="1">
        <f>0.0086420339*D3*(C3-B3)*E3/10</f>
        <v>-0.028214649504892657</v>
      </c>
      <c r="DN3" s="1">
        <f>-0.000687405181*B3*D3*(C3-B3)*E3/10</f>
        <v>-0.03366377025510563</v>
      </c>
      <c r="DO3" s="1">
        <f>-0.00000913863872*B3*B3*D3*(C3-B3)*E3/10</f>
        <v>0.006713093881550754</v>
      </c>
      <c r="DP3" s="1">
        <f>0.000000515916806*B3*B3*B3*D3*(C3-B3)*E3/10</f>
        <v>0.005684760159357422</v>
      </c>
      <c r="DQ3" s="1">
        <f>-0.0000359217476*D3*D3*(C3-B3)*E3/10</f>
        <v>0.0005863894598569087</v>
      </c>
      <c r="DR3" s="1">
        <f>0.0000328696511*B3*D3*D3*(C3-B3)*E3/10</f>
        <v>0.00804850191401074</v>
      </c>
      <c r="DS3" s="1">
        <f>-0.000000710542454*B3*B3*D3*D3*(C3-B3)*E3/10</f>
        <v>0.0026097640724599396</v>
      </c>
      <c r="DT3" s="1">
        <f>-0.00001243823*D3*D3*D3*(C3-B3)*E3/10</f>
        <v>0.0010152132703137192</v>
      </c>
      <c r="DU3" s="1">
        <f>-0.000000007385844*B3*D3*D3*D3*(C3-B3)*E3/10</f>
        <v>-9.04253278955321E-06</v>
      </c>
      <c r="DV3" s="1">
        <f>0.000000220609296*D3*D3*D3*D3*(C3-B3)*E3/10</f>
        <v>-9.003109158367682E-05</v>
      </c>
      <c r="DW3" s="1">
        <f>-0.00073246918*(C3-B3)*(C3-B3)*E3/10</f>
        <v>-0.0023358731096736586</v>
      </c>
      <c r="DX3" s="1">
        <f>-0.0000187381964*B3*(C3-B3)*(C3-B3)*E3/10</f>
        <v>0.0008963527126399452</v>
      </c>
      <c r="DY3" s="1">
        <f>0.00000480925239*B3*B3*(C3-B3)*(C3-B3)*E3/10</f>
        <v>0.0034508015074065307</v>
      </c>
      <c r="DZ3" s="1">
        <f>-0.000000087549204*B3*B3*B3*(C3-B3)*(C3-B3)*E3/10</f>
        <v>0.0009422927951243639</v>
      </c>
      <c r="EA3" s="1">
        <f>0.000027786293*D3*(C3-B3)*(C3-B3)*E3/10</f>
        <v>0.00044305792249315815</v>
      </c>
      <c r="EB3" s="1">
        <f>-0.00000506004592*B3*D3*(C3-B3)*(C3-B3)*E3/10</f>
        <v>0.0012102514536763763</v>
      </c>
      <c r="EC3" s="1">
        <f>0.000000114325367*B3*B3*D3*(C3-B3)*(C3-B3)*E3/10</f>
        <v>0.00041016161846561437</v>
      </c>
      <c r="ED3" s="1">
        <f>0.00000253016723*D3*D3*(C3-B3)*(C3-B3)*E3/10</f>
        <v>0.00020172007768075946</v>
      </c>
      <c r="EE3" s="1">
        <f>-0.0000000172857035*B3*D3*D3*(C3-B3)*(C3-B3)*E3/10</f>
        <v>2.0671796382327914E-05</v>
      </c>
      <c r="EF3" s="1">
        <f>-0.0000000395079398*D3*D3*D3*(C3-B3)*(C3-B3)*E3/10</f>
        <v>-1.5749047317838295E-05</v>
      </c>
      <c r="EG3" s="1">
        <f>-0.000000359413173*(C3-B3)*(C3-B3)*(C3-B3)*E3/10</f>
        <v>5.597899326894233E-06</v>
      </c>
      <c r="EH3" s="1">
        <f>0.000000704388046*B3*(C3-B3)*(C3-B3)*(C3-B3)*E3/10</f>
        <v>0.00016456380837392447</v>
      </c>
      <c r="EI3" s="1">
        <f>-0.0000000189309167*B3*B3*(C3-B3)*(C3-B3)*(C3-B3)*E3/10</f>
        <v>6.634149527066632E-05</v>
      </c>
      <c r="EJ3" s="1">
        <f>-0.000000479768731*D3*(C3-B3)*(C3-B3)*(C3-B3)*E3/10</f>
        <v>3.736225127632982E-05</v>
      </c>
      <c r="EK3" s="1">
        <f>0.00000000796079978*B3*D3*(C3-B3)*(C3-B3)*(C3-B3)*E3/10</f>
        <v>9.29927429162462E-06</v>
      </c>
      <c r="EL3" s="1">
        <f>0.00000000162897058*D3*D3*(C3-B3)*(C3-B3)*(C3-B3)*E3/10</f>
        <v>-6.342848564229244E-07</v>
      </c>
      <c r="EM3" s="1">
        <f>0.0000000394367674*(C3-B3)*(C3-B3)*(C3-B3)*(C3-B3)*E3/10</f>
        <v>2.999878075349376E-06</v>
      </c>
      <c r="EN3" s="1">
        <f>-0.00000000118566247*B3*(C3-B3)*(C3-B3)*(C3-B3)*(C3-B3)*E3/10</f>
        <v>1.3528655172625486E-06</v>
      </c>
      <c r="EO3" s="1">
        <f>0.000000000334678041*D3*(C3-B3)*(C3-B3)*(C3-B3)*(C3-B3)*E3/10</f>
        <v>1.2729153321739797E-07</v>
      </c>
      <c r="EP3" s="1">
        <f>-0.000000000115606447*(C3-B3)*(C3-B3)*(C3-B3)*(C3-B3)*(C3-B3)*E3/10</f>
        <v>4.294924667201072E-08</v>
      </c>
      <c r="EQ3" s="1">
        <f>-2.80626406*E3/10*E3/10</f>
        <v>-0.05016069095391932</v>
      </c>
      <c r="ER3" s="1">
        <f>0.548712484*B3*E3/10*E3/10</f>
        <v>-0.14711978315655044</v>
      </c>
      <c r="ES3" s="1">
        <f>-0.0039942841*B3*B3*E3/10*E3/10</f>
        <v>-0.01606410172338062</v>
      </c>
      <c r="ET3" s="1">
        <f>-0.000954009191*B3*B3*B3*E3/10*E3/10</f>
        <v>0.05755211812273463</v>
      </c>
      <c r="EU3" s="1">
        <f>0.0000193090978*B3*B3*B3*B3*E3/10*E3/10</f>
        <v>0.0174727794225575</v>
      </c>
      <c r="EV3" s="1">
        <f>-0.308806365*D3*E3/10*E3/10</f>
        <v>-0.0275988650892821</v>
      </c>
      <c r="EW3" s="1">
        <f>0.0116952364*B3*D3*E3/10*E3/10</f>
        <v>-0.0156785264897727</v>
      </c>
      <c r="EX3" s="1">
        <f>0.000495271903*B3*B3*D3*E3/10*E3/10</f>
        <v>0.009959354456690123</v>
      </c>
      <c r="EY3" s="1">
        <f>-0.0000190710882*B3*B3*B3*D3*E3/10*E3/10</f>
        <v>0.005752468273733278</v>
      </c>
      <c r="EZ3" s="1">
        <f>0.00210787756*D3*D3*E3/10*E3/10</f>
        <v>0.0009419337649203755</v>
      </c>
      <c r="FA3" s="1">
        <f>-0.000698445738*B3*D3*D3*E3/10*E3/10</f>
        <v>0.004681649703507423</v>
      </c>
      <c r="FB3" s="1">
        <f>0.0000230109073*B3*B3*D3*D3*E3/10*E3/10</f>
        <v>0.0023136158217594086</v>
      </c>
      <c r="FC3" s="1">
        <f>0.00041785659*D3*D3*D3*E3/10*E3/10</f>
        <v>0.0009336245104660862</v>
      </c>
      <c r="FD3" s="1">
        <f>-0.0000127043871*B3*D3*D3*D3*E3/10*E3/10</f>
        <v>0.00042578461621279543</v>
      </c>
      <c r="FE3" s="1">
        <f>-0.00000304620472*D3*D3*D3*D3*E3/10*E3/10</f>
        <v>-3.403095055278991E-05</v>
      </c>
      <c r="FF3" s="1">
        <f>0.0514507424*(C3-B3)*E3/10*E3/10</f>
        <v>-0.004491566390216662</v>
      </c>
      <c r="FG3" s="1">
        <f>-0.00432510997*B3*(C3-B3)*E3/10*E3/10</f>
        <v>-0.005663626315888589</v>
      </c>
      <c r="FH3" s="1">
        <f>0.0000899281156*B3*B3*(C3-B3)*E3/10*E3/10</f>
        <v>-0.0017663802039133976</v>
      </c>
      <c r="FI3" s="1">
        <f>-0.000000714663943*B3*B3*B3*(C3-B3)*E3/10*E3/10</f>
        <v>-0.00021056288674738333</v>
      </c>
      <c r="FJ3" s="1">
        <f>-0.000266016305*D3*(C3-B3)*E3/10*E3/10</f>
        <v>0.00011611396056236736</v>
      </c>
      <c r="FK3" s="1">
        <f>0.000263789586*B3*D3*(C3-B3)*E3/10*E3/10</f>
        <v>0.0017271302365601544</v>
      </c>
      <c r="FL3" s="1">
        <f>-0.00000701199003*B3*B3*D3*(C3-B3)*E3/10*E3/10</f>
        <v>0.0006886522805683094</v>
      </c>
      <c r="FM3" s="1">
        <f>-0.000106823306*D3*D3*(C3-B3)*E3/10*E3/10</f>
        <v>0.00023313753531058372</v>
      </c>
      <c r="FN3" s="1">
        <f>0.00000361341136*B3*D3*D3*(C3-B3)*E3/10*E3/10</f>
        <v>0.00011829185737806096</v>
      </c>
      <c r="FO3" s="1">
        <f>0.000000229748967*D3*D3*D3*(C3-B3)*E3/10*E3/10</f>
        <v>-2.5070890385349347E-06</v>
      </c>
      <c r="FP3" s="1">
        <f>0.000304788893*(C3-B3)*(C3-B3)*E3/10*E3/10</f>
        <v>0.00012995006946972044</v>
      </c>
      <c r="FQ3" s="1">
        <f>-0.0000642070836*B3*(C3-B3)*(C3-B3)*E3/10*E3/10</f>
        <v>0.0004106308579099771</v>
      </c>
      <c r="FR3" s="1">
        <f>0.00000116257971*B3*B3*(C3-B3)*(C3-B3)*E3/10*E3/10</f>
        <v>0.00011152767193416779</v>
      </c>
      <c r="FS3" s="1">
        <f>0.00000768023384*D3*(C3-B3)*(C3-B3)*E3/10*E3/10</f>
        <v>1.637275740641405E-05</v>
      </c>
      <c r="FT3" s="1">
        <f>-0.000000547446896*B3*D3*(C3-B3)*(C3-B3)*E3/10*E3/10</f>
        <v>1.750574671519842E-05</v>
      </c>
      <c r="FU3" s="1">
        <f>-0.000000035993791*D3*D3*(C3-B3)*(C3-B3)*E3/10*E3/10</f>
        <v>-3.8365863621944703E-07</v>
      </c>
      <c r="FV3" s="1">
        <f>-0.00000436497725*(C3-B3)*(C3-B3)*(C3-B3)*E3/10*E3/10</f>
        <v>9.08930267509504E-06</v>
      </c>
      <c r="FW3" s="1">
        <f>0.000000168737969*B3*(C3-B3)*(C3-B3)*(C3-B3)*E3/10*E3/10</f>
        <v>5.270510194601144E-06</v>
      </c>
      <c r="FX3" s="1">
        <f>0.0000000267489271*D3*(C3-B3)*(C3-B3)*(C3-B3)*E3/10*E3/10</f>
        <v>-2.7849984171847893E-07</v>
      </c>
      <c r="FY3" s="1">
        <f>0.00000000323926897*(C3-B3)*(C3-B3)*(C3-B3)*(C3-B3)*E3/10*E3/10</f>
        <v>3.2943276677753765E-08</v>
      </c>
      <c r="FZ3" s="1">
        <f>-0.0353874123*E3/10*E3/10*E3/10</f>
        <v>-8.456706729894318E-05</v>
      </c>
      <c r="GA3" s="1">
        <f>-0.22120119*B3*E3/10*E3/10*E3/10</f>
        <v>0.007929233040304696</v>
      </c>
      <c r="GB3" s="1">
        <f>0.0155126038*B3*B3*E3/10*E3/10*E3/10</f>
        <v>0.008341029986691045</v>
      </c>
      <c r="GC3" s="1">
        <f>-0.000263917279*B3*B3*B3*E3/10*E3/10*E3/10</f>
        <v>0.0021286000401927107</v>
      </c>
      <c r="GD3" s="1">
        <f>0.0453433455*D3*E3/10*E3/10*E3/10</f>
        <v>0.0005417962915668934</v>
      </c>
      <c r="GE3" s="1">
        <f>-0.00432943862*B3*D3*E3/10*E3/10*E3/10</f>
        <v>0.0007759706842371684</v>
      </c>
      <c r="GF3" s="1">
        <f>0.000145389826*B3*B3*D3*E3/10*E3/10*E3/10</f>
        <v>0.0003908759980145285</v>
      </c>
      <c r="GG3" s="1">
        <f>0.00021750861*D3*D3*E3/10*E3/10*E3/10</f>
        <v>1.2994779827380594E-05</v>
      </c>
      <c r="GH3" s="1">
        <f>-0.0000666724702*B3*D3*D3*E3/10*E3/10*E3/10</f>
        <v>5.9748949993055E-05</v>
      </c>
      <c r="GI3" s="1">
        <f>0.000033321714*D3*D3*D3*E3/10*E3/10*E3/10</f>
        <v>9.95382060739907E-06</v>
      </c>
      <c r="GJ3" s="1">
        <f>-0.00226921615*(C3-B3)*E3/10*E3/10*E3/10</f>
        <v>2.6484972810227985E-05</v>
      </c>
      <c r="GK3" s="1">
        <f>0.000380261982*B3*(C3-B3)*E3/10*E3/10*E3/10</f>
        <v>6.657295463479804E-05</v>
      </c>
      <c r="GL3" s="1">
        <f>-0.00000000545314314*B3*B3*(C3-B3)*E3/10*E3/10*E3/10</f>
        <v>1.4320331826241314E-08</v>
      </c>
      <c r="GM3" s="1">
        <f>-0.000796355448*D3*(C3-B3)*E3/10*E3/10*E3/10</f>
        <v>4.647299109773418E-05</v>
      </c>
      <c r="GN3" s="1">
        <f>0.0000253458034*B3*D3*(C3-B3)*E3/10*E3/10*E3/10</f>
        <v>2.21866121227274E-05</v>
      </c>
      <c r="GO3" s="1">
        <f>-0.00000631223658*D3*D3*(C3-B3)*E3/10*E3/10*E3/10</f>
        <v>1.841818971200986E-06</v>
      </c>
      <c r="GP3" s="1">
        <f>0.000302122035*(C3-B3)*(C3-B3)*E3/10*E3/10*E3/10</f>
        <v>1.7221749532819478E-05</v>
      </c>
      <c r="GQ3" s="1">
        <f>-0.00000477403547*B3*(C3-B3)*(C3-B3)*E3/10*E3/10*E3/10</f>
        <v>4.081988415300596E-06</v>
      </c>
      <c r="GR3" s="1">
        <f>0.00000173825715*D3*(C3-B3)*(C3-B3)*E3/10*E3/10*E3/10</f>
        <v>4.954261158232403E-07</v>
      </c>
      <c r="GS3" s="1">
        <f>-0.000000409087898*(C3-B3)*(C3-B3)*(C3-B3)*E3/10*E3/10*E3/10</f>
        <v>1.1388924165749492E-07</v>
      </c>
      <c r="GT3" s="1">
        <f>0.614155345*E3/10*E3/10*E3/10*E3/10</f>
        <v>0.0001962222212798863</v>
      </c>
      <c r="GU3" s="1">
        <f>-0.0616755931*B3*E3/10*E3/10*E3/10*E3/10</f>
        <v>0.00029557966014697216</v>
      </c>
      <c r="GV3" s="1">
        <f>0.00133374846*B3*B3*E3/10*E3/10*E3/10*E3/10</f>
        <v>9.587964137348868E-05</v>
      </c>
      <c r="GW3" s="1">
        <f>0.00355375387*D3*E3/10*E3/10*E3/10*E3/10</f>
        <v>5.677109903304615E-06</v>
      </c>
      <c r="GX3" s="1">
        <f>-0.000513027851*B3*D3*E3/10*E3/10*E3/10*E3/10</f>
        <v>1.2293404102222688E-05</v>
      </c>
      <c r="GY3" s="1">
        <f>0.000102449757*D3*D3*E3/10*E3/10*E3/10*E3/10</f>
        <v>8.183157181561524E-07</v>
      </c>
      <c r="GZ3" s="1">
        <f>-0.00148526421*(C3-B3)*E3/10*E3/10*E3/10*E3/10</f>
        <v>2.317634087037645E-06</v>
      </c>
      <c r="HA3" s="1">
        <f>-0.0000411469183*B3*(C3-B3)*E3/10*E3/10*E3/10*E3/10</f>
        <v>-9.630963277769251E-07</v>
      </c>
      <c r="HB3" s="1">
        <f>-0.00000680434415*D3*(C3-B3)*E3/10*E3/10*E3/10*E3/10</f>
        <v>5.3088130164986573E-08</v>
      </c>
      <c r="HC3" s="1">
        <f>-0.00000977675906*(C3-B3)*(C3-B3)*E3/10*E3/10*E3/10*E3/10</f>
        <v>-7.450874834727293E-08</v>
      </c>
      <c r="HD3" s="1">
        <f>0.0882773108*E3/10*E3/10*E3/10*E3/10*E3/10</f>
        <v>3.770826361619E-06</v>
      </c>
      <c r="HE3" s="1">
        <f>-0.00301859306*B3*E3/10*E3/10*E3/10*E3/10*E3/10</f>
        <v>1.9341193420758636E-06</v>
      </c>
      <c r="HF3" s="1">
        <f>0.00104452989*D3*E3/10*E3/10*E3/10*E3/10*E3/10</f>
        <v>2.2308908195190486E-07</v>
      </c>
      <c r="HG3" s="1">
        <f>0.000247090539*(C3-B3)*E3/10*E3/10*E3/10*E3/10*E3/10</f>
        <v>-5.1548348779755514E-08</v>
      </c>
      <c r="HH3" s="1">
        <f>0.00148348065*E3/10*E3/10*E3/10*E3/10*E3/10*E3/10</f>
        <v>8.472016904758641E-09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B1" sqref="B1"/>
    </sheetView>
  </sheetViews>
  <sheetFormatPr defaultColWidth="9.140625" defaultRowHeight="12.75"/>
  <cols>
    <col min="1" max="1" width="45.00390625" style="0" customWidth="1"/>
    <col min="2" max="2" width="12.421875" style="0" customWidth="1"/>
    <col min="3" max="3" width="15.7109375" style="0" customWidth="1"/>
    <col min="4" max="5" width="8.7109375" style="24" customWidth="1"/>
    <col min="6" max="6" width="9.28125" style="0" customWidth="1"/>
    <col min="7" max="7" width="9.421875" style="0" customWidth="1"/>
    <col min="8" max="8" width="9.28125" style="0" customWidth="1"/>
  </cols>
  <sheetData>
    <row r="1" spans="1:5" ht="19.5">
      <c r="A1" s="3" t="s">
        <v>7</v>
      </c>
      <c r="B1" s="4">
        <f>Calculations!B17</f>
        <v>-15</v>
      </c>
      <c r="C1" s="5" t="s">
        <v>8</v>
      </c>
      <c r="D1" s="6" t="s">
        <v>9</v>
      </c>
      <c r="E1" s="7"/>
    </row>
    <row r="2" spans="1:5" ht="20.25" thickBot="1">
      <c r="A2" s="3" t="s">
        <v>10</v>
      </c>
      <c r="B2" s="8">
        <f>E5</f>
        <v>27</v>
      </c>
      <c r="C2" s="9" t="s">
        <v>8</v>
      </c>
      <c r="D2" s="10" t="s">
        <v>11</v>
      </c>
      <c r="E2" s="11"/>
    </row>
    <row r="3" spans="1:5" ht="20.25" thickBot="1">
      <c r="A3" s="3" t="s">
        <v>12</v>
      </c>
      <c r="B3" s="12">
        <f>C47</f>
        <v>-3.016095889978905</v>
      </c>
      <c r="C3" s="13"/>
      <c r="D3" s="14" t="s">
        <v>13</v>
      </c>
      <c r="E3" s="11" t="s">
        <v>14</v>
      </c>
    </row>
    <row r="4" spans="1:5" ht="19.5">
      <c r="A4" s="3"/>
      <c r="B4" s="15" t="s">
        <v>15</v>
      </c>
      <c r="C4" s="16" t="s">
        <v>16</v>
      </c>
      <c r="D4" s="14" t="s">
        <v>17</v>
      </c>
      <c r="E4" s="11" t="s">
        <v>18</v>
      </c>
    </row>
    <row r="5" spans="1:5" ht="20.25" thickBot="1">
      <c r="A5" s="3" t="s">
        <v>19</v>
      </c>
      <c r="B5" s="17">
        <f>1*H35+2*H36+3*H37+4*H38+5*H39+6*H40</f>
        <v>1</v>
      </c>
      <c r="C5" s="18">
        <f>IF(H33&lt;=20,H33,"")</f>
      </c>
      <c r="D5" s="19">
        <f>Calculations!B19</f>
        <v>5</v>
      </c>
      <c r="E5" s="20">
        <f>5.4*D5</f>
        <v>27</v>
      </c>
    </row>
    <row r="6" spans="1:4" ht="20.25" thickBot="1">
      <c r="A6" s="3"/>
      <c r="B6" s="21" t="s">
        <v>20</v>
      </c>
      <c r="C6" s="22"/>
      <c r="D6" s="23"/>
    </row>
    <row r="7" spans="1:4" ht="19.5">
      <c r="A7" s="25" t="s">
        <v>21</v>
      </c>
      <c r="B7" s="26">
        <v>0</v>
      </c>
      <c r="C7" s="27"/>
      <c r="D7" s="23"/>
    </row>
    <row r="8" spans="1:4" ht="19.5">
      <c r="A8" s="28" t="s">
        <v>22</v>
      </c>
      <c r="B8" s="29">
        <v>1</v>
      </c>
      <c r="C8" s="30"/>
      <c r="D8" s="23"/>
    </row>
    <row r="9" spans="1:4" ht="19.5">
      <c r="A9" s="28" t="s">
        <v>23</v>
      </c>
      <c r="B9" s="29">
        <v>2</v>
      </c>
      <c r="C9" s="30" t="s">
        <v>24</v>
      </c>
      <c r="D9" s="23"/>
    </row>
    <row r="10" spans="1:4" ht="19.5">
      <c r="A10" s="28" t="s">
        <v>25</v>
      </c>
      <c r="B10" s="29">
        <v>3</v>
      </c>
      <c r="C10" s="30" t="s">
        <v>26</v>
      </c>
      <c r="D10" s="23"/>
    </row>
    <row r="11" spans="1:4" ht="19.5">
      <c r="A11" s="28" t="s">
        <v>27</v>
      </c>
      <c r="B11" s="29">
        <v>4</v>
      </c>
      <c r="C11" s="30" t="s">
        <v>28</v>
      </c>
      <c r="D11" s="23"/>
    </row>
    <row r="12" spans="1:4" ht="19.5">
      <c r="A12" s="28" t="s">
        <v>29</v>
      </c>
      <c r="B12" s="29">
        <v>5</v>
      </c>
      <c r="C12" s="30" t="s">
        <v>30</v>
      </c>
      <c r="D12" s="23"/>
    </row>
    <row r="13" spans="1:4" ht="20.25" thickBot="1">
      <c r="A13" s="31" t="s">
        <v>31</v>
      </c>
      <c r="B13" s="32">
        <v>6</v>
      </c>
      <c r="C13" s="33" t="s">
        <v>32</v>
      </c>
      <c r="D13" s="23"/>
    </row>
    <row r="14" spans="1:4" ht="19.5">
      <c r="A14" s="3"/>
      <c r="B14" s="34"/>
      <c r="C14" s="22"/>
      <c r="D14" s="23"/>
    </row>
    <row r="15" spans="1:2" ht="12.75">
      <c r="A15" s="35"/>
      <c r="B15" s="36"/>
    </row>
    <row r="16" spans="1:2" ht="12.75">
      <c r="A16" s="36"/>
      <c r="B16" s="36"/>
    </row>
    <row r="17" spans="1:2" ht="12.75">
      <c r="A17" s="36"/>
      <c r="B17" s="36"/>
    </row>
    <row r="18" spans="1:2" ht="12.75">
      <c r="A18" s="36"/>
      <c r="B18" s="36"/>
    </row>
    <row r="19" spans="1:2" ht="12.75">
      <c r="A19" s="36"/>
      <c r="B19" s="36"/>
    </row>
    <row r="21" spans="1:8" ht="12.75">
      <c r="A21" s="37" t="s">
        <v>33</v>
      </c>
      <c r="B21" s="38"/>
      <c r="C21" s="38">
        <f>B1</f>
        <v>-15</v>
      </c>
      <c r="D21" s="39">
        <f>(273.15+B1)*(0.6+0.05*SQRT(B43))^0.25-273.15</f>
        <v>-40.721851594509815</v>
      </c>
      <c r="E21" s="39">
        <f>(273.15+C21)*(0.6+0.05*SQRT(C43))^0.25-273.15</f>
        <v>-40.721851594509815</v>
      </c>
      <c r="F21" s="38" t="s">
        <v>34</v>
      </c>
      <c r="G21" s="40"/>
      <c r="H21" s="40"/>
    </row>
    <row r="22" spans="1:8" ht="12.75">
      <c r="A22" s="38" t="s">
        <v>35</v>
      </c>
      <c r="B22" s="38">
        <v>34</v>
      </c>
      <c r="C22" s="38">
        <f>B22</f>
        <v>34</v>
      </c>
      <c r="D22" s="41">
        <f>B1</f>
        <v>-15</v>
      </c>
      <c r="E22" s="41">
        <f>C21</f>
        <v>-15</v>
      </c>
      <c r="F22" s="38" t="s">
        <v>36</v>
      </c>
      <c r="G22" s="40"/>
      <c r="H22" s="40"/>
    </row>
    <row r="23" spans="1:8" ht="12.75">
      <c r="A23" s="38" t="s">
        <v>37</v>
      </c>
      <c r="B23" s="40">
        <f>1.3033-0.005189*(B1+B57)/2</f>
        <v>1.2591934999999999</v>
      </c>
      <c r="C23" s="40">
        <f>1.3033-0.005189*(C21+B47)/2</f>
        <v>1.349886270012644</v>
      </c>
      <c r="D23" s="42">
        <f>0.5*(B1+E29*D21+E28*D22)</f>
        <v>-27.860925797254907</v>
      </c>
      <c r="E23" s="39">
        <f>D23</f>
        <v>-27.860925797254907</v>
      </c>
      <c r="F23" s="38" t="s">
        <v>38</v>
      </c>
      <c r="G23" s="40"/>
      <c r="H23" s="40"/>
    </row>
    <row r="24" spans="1:8" ht="12.75">
      <c r="A24" s="38" t="s">
        <v>39</v>
      </c>
      <c r="B24" s="38">
        <f>(170.82+0.53436*(B1+B57)/2)*10^-7</f>
        <v>1.7536205999999996E-05</v>
      </c>
      <c r="C24" s="38">
        <f>(170.82+0.53436*(C21+B47)/2)*10^-7</f>
        <v>1.6602257482290295E-05</v>
      </c>
      <c r="D24" s="43">
        <f>4*5.67*10^(-8)*(273.15+(B57+B1)/2)^3</f>
        <v>5.067249831733949</v>
      </c>
      <c r="E24" s="43">
        <f>4*5.67*10^(-8)*(273.15+(B47+E23)/2)^3</f>
        <v>3.883263404568839</v>
      </c>
      <c r="F24" s="38" t="s">
        <v>40</v>
      </c>
      <c r="G24" s="40"/>
      <c r="H24" s="40"/>
    </row>
    <row r="25" spans="1:8" ht="12.75">
      <c r="A25" s="38" t="s">
        <v>41</v>
      </c>
      <c r="B25" s="38">
        <v>0.075</v>
      </c>
      <c r="C25" s="38">
        <f>B25</f>
        <v>0.075</v>
      </c>
      <c r="D25" s="44">
        <f>4*5.67*10^(-8)*(273.15+(B45+D23)/2)^3</f>
        <v>3.870146224161938</v>
      </c>
      <c r="E25" s="44">
        <f>4*5.67*10^(-8)*(273.15+(C45+E23)/2)^3</f>
        <v>3.881885063709647</v>
      </c>
      <c r="F25" s="38" t="s">
        <v>40</v>
      </c>
      <c r="G25" s="40"/>
      <c r="H25" s="40"/>
    </row>
    <row r="26" spans="1:8" ht="13.5" thickBot="1">
      <c r="A26" s="38" t="s">
        <v>42</v>
      </c>
      <c r="B26" s="45">
        <v>0.069</v>
      </c>
      <c r="C26" s="45">
        <f>B26</f>
        <v>0.069</v>
      </c>
      <c r="D26" s="46"/>
      <c r="E26" s="41"/>
      <c r="F26" s="38"/>
      <c r="G26" s="47"/>
      <c r="H26" s="47"/>
    </row>
    <row r="27" spans="1:8" ht="13.5" thickBot="1">
      <c r="A27" s="38" t="s">
        <v>43</v>
      </c>
      <c r="B27" s="45">
        <v>0.057</v>
      </c>
      <c r="C27" s="45">
        <f>B27</f>
        <v>0.057</v>
      </c>
      <c r="D27" s="41" t="s">
        <v>44</v>
      </c>
      <c r="E27" s="48">
        <v>1</v>
      </c>
      <c r="F27" s="38"/>
      <c r="G27" s="38"/>
      <c r="H27" s="38"/>
    </row>
    <row r="28" spans="1:8" ht="12.75">
      <c r="A28" s="38" t="s">
        <v>45</v>
      </c>
      <c r="B28" s="45">
        <f>B26*LN(B26/B27)/B25</f>
        <v>0.17577081782169252</v>
      </c>
      <c r="C28" s="45">
        <f>C26*LN(C26/C27)/C25</f>
        <v>0.17577081782169252</v>
      </c>
      <c r="D28" s="41" t="s">
        <v>46</v>
      </c>
      <c r="E28" s="41" t="b">
        <f>E27&lt;0.5</f>
        <v>0</v>
      </c>
      <c r="F28" s="38"/>
      <c r="G28" s="38"/>
      <c r="H28" s="38"/>
    </row>
    <row r="29" spans="1:8" ht="12.75">
      <c r="A29" s="38" t="s">
        <v>47</v>
      </c>
      <c r="B29" s="49">
        <f>0.024009+0.000076268*(B1+B57)/2</f>
        <v>0.024657277999999998</v>
      </c>
      <c r="C29" s="49">
        <f>0.024009+0.000076268*(C21+B47)/2</f>
        <v>0.023324274303078756</v>
      </c>
      <c r="D29" s="50" t="s">
        <v>48</v>
      </c>
      <c r="E29" s="41" t="b">
        <f>E27&gt;0.5</f>
        <v>1</v>
      </c>
      <c r="F29" s="51"/>
      <c r="G29" s="52"/>
      <c r="H29" s="53"/>
    </row>
    <row r="30" spans="1:8" ht="12.75">
      <c r="A30" s="38" t="s">
        <v>49</v>
      </c>
      <c r="B30" s="54">
        <v>1010</v>
      </c>
      <c r="C30" s="54">
        <f>B30</f>
        <v>1010</v>
      </c>
      <c r="D30" s="55"/>
      <c r="E30" s="41"/>
      <c r="F30" s="40"/>
      <c r="G30" s="56"/>
      <c r="H30" s="57"/>
    </row>
    <row r="31" spans="1:8" ht="12.75">
      <c r="A31" s="38" t="s">
        <v>50</v>
      </c>
      <c r="B31" s="38">
        <f>B24*B30/B29</f>
        <v>0.7183099472699297</v>
      </c>
      <c r="C31" s="38">
        <f>C24*C30/C29</f>
        <v>0.7189196902430453</v>
      </c>
      <c r="D31" s="41"/>
      <c r="E31" s="41"/>
      <c r="F31" s="38"/>
      <c r="G31" s="38"/>
      <c r="H31" s="38"/>
    </row>
    <row r="32" spans="1:8" ht="12.75">
      <c r="A32" s="38"/>
      <c r="B32" s="38"/>
      <c r="C32" s="38"/>
      <c r="D32" s="41"/>
      <c r="E32" s="41"/>
      <c r="F32" s="38"/>
      <c r="G32" s="38"/>
      <c r="H32" s="38"/>
    </row>
    <row r="33" spans="1:8" ht="12.75">
      <c r="A33" s="38" t="s">
        <v>51</v>
      </c>
      <c r="B33" s="40">
        <f>2/3*B2/3.6</f>
        <v>5</v>
      </c>
      <c r="C33" s="38">
        <f>B33</f>
        <v>5</v>
      </c>
      <c r="D33" s="58" t="s">
        <v>0</v>
      </c>
      <c r="E33" s="58" t="s">
        <v>52</v>
      </c>
      <c r="F33" s="59">
        <f>1*(B3&gt;=0)</f>
        <v>0</v>
      </c>
      <c r="G33" s="60" t="s">
        <v>53</v>
      </c>
      <c r="H33" s="61">
        <f>F40*(F40&lt;=20)+1000*(F40&gt;20)</f>
        <v>1000</v>
      </c>
    </row>
    <row r="34" spans="1:8" ht="12.75">
      <c r="A34" s="38" t="s">
        <v>54</v>
      </c>
      <c r="B34" s="54">
        <f>2*B26*B33*B23/B24</f>
        <v>49545.69506083586</v>
      </c>
      <c r="C34" s="54">
        <f>2*C26*C23*C33/C24</f>
        <v>56102.10101260483</v>
      </c>
      <c r="D34" s="62">
        <f>1*(0&gt;B1)*(B1&gt;-5)</f>
        <v>0</v>
      </c>
      <c r="E34" s="62" t="s">
        <v>55</v>
      </c>
      <c r="F34" s="63">
        <f>1*(0&gt;B3)*(B3&gt;-4.8)</f>
        <v>1</v>
      </c>
      <c r="G34" s="64">
        <v>0</v>
      </c>
      <c r="H34" s="65">
        <f>1-SUM(H35:H40)</f>
        <v>0</v>
      </c>
    </row>
    <row r="35" spans="1:8" ht="12.75">
      <c r="A35" s="38" t="s">
        <v>56</v>
      </c>
      <c r="B35" s="49">
        <v>1.14</v>
      </c>
      <c r="C35" s="49">
        <f>B35</f>
        <v>1.14</v>
      </c>
      <c r="D35" s="62">
        <f>1*(-5&gt;=B1)*(B1&gt;-12)</f>
        <v>0</v>
      </c>
      <c r="E35" s="66" t="s">
        <v>57</v>
      </c>
      <c r="F35" s="67">
        <f>1*(B3&lt;-4.8)</f>
        <v>0</v>
      </c>
      <c r="G35" s="64">
        <v>1</v>
      </c>
      <c r="H35" s="65">
        <f>F34</f>
        <v>1</v>
      </c>
    </row>
    <row r="36" spans="1:8" ht="12.75">
      <c r="A36" s="38" t="s">
        <v>58</v>
      </c>
      <c r="B36" s="49">
        <v>0.5</v>
      </c>
      <c r="C36" s="49">
        <f>B36</f>
        <v>0.5</v>
      </c>
      <c r="D36" s="68">
        <f>1*(B1=-13)</f>
        <v>0</v>
      </c>
      <c r="E36" s="62" t="s">
        <v>59</v>
      </c>
      <c r="F36" s="63">
        <f>1*(B2&lt;70)</f>
        <v>1</v>
      </c>
      <c r="G36" s="64">
        <v>2</v>
      </c>
      <c r="H36" s="65">
        <f>F35*(1-SUM(H37:H40))</f>
        <v>0</v>
      </c>
    </row>
    <row r="37" spans="1:8" ht="12.75">
      <c r="A37" s="38" t="s">
        <v>60</v>
      </c>
      <c r="B37" s="49">
        <v>0.4</v>
      </c>
      <c r="C37" s="49">
        <f>B37</f>
        <v>0.4</v>
      </c>
      <c r="D37" s="68">
        <f>1*(B1=-14)</f>
        <v>0</v>
      </c>
      <c r="E37" s="62" t="s">
        <v>61</v>
      </c>
      <c r="F37" s="63">
        <f>1*(B2&lt;55)</f>
        <v>1</v>
      </c>
      <c r="G37" s="64">
        <v>3</v>
      </c>
      <c r="H37" s="65">
        <f>1*(20&gt;F40)*(F40&gt;=10)</f>
        <v>0</v>
      </c>
    </row>
    <row r="38" spans="1:8" ht="12.75">
      <c r="A38" s="38" t="s">
        <v>62</v>
      </c>
      <c r="B38" s="40">
        <f>B35*B34^B36*B31^B37*(1-(50/90)^3)</f>
        <v>184.17979132741243</v>
      </c>
      <c r="C38" s="40">
        <f>C35*C34^C36*C31^C37*(1-(50/90)^3)</f>
        <v>196.05412121358873</v>
      </c>
      <c r="D38" s="62">
        <f>1*(-15&gt;=B1)*(B1&gt;=-20)</f>
        <v>1</v>
      </c>
      <c r="E38" s="58" t="s">
        <v>63</v>
      </c>
      <c r="F38" s="69">
        <f>G49</f>
        <v>999</v>
      </c>
      <c r="G38" s="64">
        <v>4</v>
      </c>
      <c r="H38" s="65">
        <f>1*(5&lt;=F40)*(F40&lt;10)</f>
        <v>0</v>
      </c>
    </row>
    <row r="39" spans="1:8" ht="12.75">
      <c r="A39" s="38" t="s">
        <v>64</v>
      </c>
      <c r="B39" s="40">
        <f>B38*B29/(2*B26)</f>
        <v>32.908495048855045</v>
      </c>
      <c r="C39" s="40">
        <f>C38*C29/(2*C26)</f>
        <v>33.13637754662894</v>
      </c>
      <c r="D39" s="66">
        <f>1*(B1&lt;-20)</f>
        <v>0</v>
      </c>
      <c r="E39" s="62" t="s">
        <v>65</v>
      </c>
      <c r="F39" s="70">
        <f>H49</f>
        <v>999</v>
      </c>
      <c r="G39" s="64">
        <v>5</v>
      </c>
      <c r="H39" s="65">
        <f>1*(2&lt;=F40)*(F40&lt;5)</f>
        <v>0</v>
      </c>
    </row>
    <row r="40" spans="1:8" ht="12.75">
      <c r="A40" s="38" t="s">
        <v>66</v>
      </c>
      <c r="B40" s="49">
        <f>B26*LN(B26/B27)</f>
        <v>0.013182811336626937</v>
      </c>
      <c r="C40" s="49">
        <f>C26*LN(C26/C27)</f>
        <v>0.013182811336626937</v>
      </c>
      <c r="D40" s="41"/>
      <c r="E40" s="66" t="s">
        <v>67</v>
      </c>
      <c r="F40" s="71">
        <f>D38*F38+D39*F39+999*(B1&gt;-15)</f>
        <v>999</v>
      </c>
      <c r="G40" s="72">
        <v>6</v>
      </c>
      <c r="H40" s="73">
        <f>1*(F40&lt;2)</f>
        <v>0</v>
      </c>
    </row>
    <row r="41" spans="1:8" ht="12.75">
      <c r="A41" s="38" t="s">
        <v>68</v>
      </c>
      <c r="B41" s="49">
        <f>B39*B40</f>
        <v>0.4338264816013777</v>
      </c>
      <c r="C41" s="49">
        <f>C39*C40</f>
        <v>0.4368306135764503</v>
      </c>
      <c r="D41" s="41"/>
      <c r="E41" s="41"/>
      <c r="F41" s="38"/>
      <c r="G41" s="38"/>
      <c r="H41" s="38"/>
    </row>
    <row r="42" spans="1:8" ht="12.75">
      <c r="A42" s="38" t="s">
        <v>69</v>
      </c>
      <c r="B42" s="38">
        <v>70</v>
      </c>
      <c r="C42" s="38">
        <f>B42</f>
        <v>70</v>
      </c>
      <c r="D42" s="74"/>
      <c r="E42" s="58" t="s">
        <v>70</v>
      </c>
      <c r="F42" s="75"/>
      <c r="G42" s="76" t="s">
        <v>71</v>
      </c>
      <c r="H42" s="77" t="s">
        <v>72</v>
      </c>
    </row>
    <row r="43" spans="1:8" ht="12.75">
      <c r="A43" s="38" t="s">
        <v>73</v>
      </c>
      <c r="B43" s="40">
        <f>9.87*(B42/100)*EXP(16.6536-4030.183/(235+B1))</f>
        <v>1.3065776961605722</v>
      </c>
      <c r="C43" s="40">
        <f>9.87*(C42/100)*EXP(16.6536-4030.183/(235+C21))</f>
        <v>1.3065776961605722</v>
      </c>
      <c r="D43" s="74"/>
      <c r="E43" s="62" t="s">
        <v>74</v>
      </c>
      <c r="F43" s="56"/>
      <c r="G43" s="56">
        <f>0.1863+0.023336*B1+0.000679*B1^2</f>
        <v>-0.010964999999999975</v>
      </c>
      <c r="H43" s="78">
        <f>-0.025403-0.00095008*B1</f>
        <v>-0.0111518</v>
      </c>
    </row>
    <row r="44" spans="1:8" ht="12.75">
      <c r="A44" s="38"/>
      <c r="B44" s="38"/>
      <c r="C44" s="38"/>
      <c r="D44" s="74"/>
      <c r="E44" s="62" t="s">
        <v>75</v>
      </c>
      <c r="F44" s="56"/>
      <c r="G44" s="56">
        <f>0.0043673+0.0006543*B1+0.000025641*B1^2</f>
        <v>0.0003220250000000001</v>
      </c>
      <c r="H44" s="78">
        <f>-0.001505-0.000055127*B1+0.0000046778*B1^2</f>
        <v>0.00037441000000000004</v>
      </c>
    </row>
    <row r="45" spans="1:8" ht="12.75">
      <c r="A45" s="38" t="s">
        <v>76</v>
      </c>
      <c r="B45" s="79">
        <f>(B25*(B39*B1+D24*D23)+B22)/(B25*(B39+D24)+1)</f>
        <v>-3.5368470897289113</v>
      </c>
      <c r="C45" s="79">
        <f>(C25*(C39*C21+E24*E23)+C22)/(C25*(C39+E24)+1)</f>
        <v>-3.0167759817646944</v>
      </c>
      <c r="D45" s="74"/>
      <c r="E45" s="62" t="s">
        <v>77</v>
      </c>
      <c r="F45" s="56"/>
      <c r="G45" s="56">
        <f>G43+G44*B2</f>
        <v>-0.0022703249999999724</v>
      </c>
      <c r="H45" s="78">
        <f>H43+H44*B2</f>
        <v>-0.0010427299999999987</v>
      </c>
    </row>
    <row r="46" spans="1:8" ht="12.75">
      <c r="A46" s="38" t="s">
        <v>78</v>
      </c>
      <c r="B46" s="79"/>
      <c r="C46" s="79"/>
      <c r="D46" s="74"/>
      <c r="E46" s="62"/>
      <c r="F46" s="56"/>
      <c r="G46" s="56">
        <f>G45*(G45&gt;0)+999*(G45&lt;=0)</f>
        <v>999</v>
      </c>
      <c r="H46" s="78">
        <f>H45*(H45&gt;0)+999*(H45&lt;=0)</f>
        <v>999</v>
      </c>
    </row>
    <row r="47" spans="1:8" ht="12.75">
      <c r="A47" s="38" t="s">
        <v>79</v>
      </c>
      <c r="B47" s="80">
        <f>(B25*(B39*B1+D25*D23)+B22)/(B25*(B39+D25)+1)</f>
        <v>-2.955779538502244</v>
      </c>
      <c r="C47" s="81">
        <f>(C25*(C39*C21+E25*E23)+C22)/(C25*(C39+E25)+1)</f>
        <v>-3.016095889978905</v>
      </c>
      <c r="D47" s="74"/>
      <c r="E47" s="62" t="s">
        <v>80</v>
      </c>
      <c r="F47" s="56"/>
      <c r="G47" s="56">
        <f>3.2+0.1*B1</f>
        <v>1.7000000000000002</v>
      </c>
      <c r="H47" s="78">
        <f>1.05+3*EXP(0.15*B1)</f>
        <v>1.366197673685593</v>
      </c>
    </row>
    <row r="48" spans="1:8" ht="12.75">
      <c r="A48" s="38" t="s">
        <v>81</v>
      </c>
      <c r="B48" s="54">
        <f>B39*(B47-B1)</f>
        <v>396.35716942451756</v>
      </c>
      <c r="C48" s="54">
        <f>C39*(C47-C21)</f>
        <v>397.10317107225734</v>
      </c>
      <c r="D48" s="74"/>
      <c r="E48" s="62"/>
      <c r="F48" s="56"/>
      <c r="G48" s="56">
        <f>G47*(G45&gt;0)-1*(G45&lt;=0)</f>
        <v>-1</v>
      </c>
      <c r="H48" s="78">
        <f>H47*(H45&gt;0)-1*(H45&lt;=0)</f>
        <v>-1</v>
      </c>
    </row>
    <row r="49" spans="1:8" ht="12.75">
      <c r="A49" s="38"/>
      <c r="B49" s="40"/>
      <c r="C49" s="40"/>
      <c r="D49" s="43"/>
      <c r="E49" s="66"/>
      <c r="F49" s="82"/>
      <c r="G49" s="83">
        <f>G46^(-1/G48)</f>
        <v>999</v>
      </c>
      <c r="H49" s="84">
        <f>H46^(-1/H48)</f>
        <v>999</v>
      </c>
    </row>
    <row r="50" spans="1:8" ht="12.75">
      <c r="A50" s="38" t="s">
        <v>82</v>
      </c>
      <c r="B50" s="38">
        <v>1000</v>
      </c>
      <c r="C50" s="38"/>
      <c r="D50" s="41"/>
      <c r="E50" s="41"/>
      <c r="F50" s="38"/>
      <c r="G50" s="38"/>
      <c r="H50" s="47"/>
    </row>
    <row r="51" spans="1:8" ht="12.75">
      <c r="A51" s="38" t="s">
        <v>83</v>
      </c>
      <c r="B51" s="79">
        <f>B50*(B26^2-B27^2)/2/B26</f>
        <v>10.956521739130435</v>
      </c>
      <c r="C51" s="38"/>
      <c r="D51" s="41"/>
      <c r="E51" s="41"/>
      <c r="F51" s="38"/>
      <c r="G51" s="38"/>
      <c r="H51" s="47"/>
    </row>
    <row r="52" spans="1:8" ht="12.75">
      <c r="A52" s="38" t="s">
        <v>84</v>
      </c>
      <c r="B52" s="38">
        <v>3000</v>
      </c>
      <c r="C52" s="38"/>
      <c r="D52" s="41"/>
      <c r="E52" s="41"/>
      <c r="F52" s="38"/>
      <c r="G52" s="38"/>
      <c r="H52" s="47"/>
    </row>
    <row r="53" spans="1:8" ht="12.75">
      <c r="A53" s="38" t="s">
        <v>85</v>
      </c>
      <c r="B53" s="38">
        <f>B28/B50/B52</f>
        <v>5.859027260723084E-08</v>
      </c>
      <c r="C53" s="38"/>
      <c r="D53" s="41"/>
      <c r="E53" s="41"/>
      <c r="F53" s="38"/>
      <c r="G53" s="38"/>
      <c r="H53" s="47"/>
    </row>
    <row r="54" spans="1:8" ht="12.75">
      <c r="A54" s="38" t="s">
        <v>86</v>
      </c>
      <c r="B54" s="38"/>
      <c r="C54" s="38"/>
      <c r="D54" s="41"/>
      <c r="E54" s="41"/>
      <c r="F54" s="38"/>
      <c r="G54" s="38"/>
      <c r="H54" s="47"/>
    </row>
    <row r="55" spans="1:8" ht="12.75">
      <c r="A55" s="38" t="s">
        <v>87</v>
      </c>
      <c r="B55" s="38">
        <f>B53/(B26-B27)^2</f>
        <v>0.0004068768931057695</v>
      </c>
      <c r="C55" s="38"/>
      <c r="D55" s="41"/>
      <c r="E55" s="41"/>
      <c r="F55" s="38"/>
      <c r="G55" s="38"/>
      <c r="H55" s="47"/>
    </row>
    <row r="56" spans="1:8" ht="12.75">
      <c r="A56" s="38"/>
      <c r="B56" s="38"/>
      <c r="C56" s="38"/>
      <c r="D56" s="41"/>
      <c r="E56" s="41"/>
      <c r="F56" s="38"/>
      <c r="G56" s="38"/>
      <c r="H56" s="38"/>
    </row>
    <row r="57" spans="1:8" ht="12.75">
      <c r="A57" s="85" t="s">
        <v>88</v>
      </c>
      <c r="B57" s="79">
        <v>32</v>
      </c>
      <c r="C57" s="38"/>
      <c r="D57" s="41"/>
      <c r="E57" s="41"/>
      <c r="F57" s="38"/>
      <c r="G57" s="38"/>
      <c r="H57" s="38"/>
    </row>
    <row r="58" ht="12.75">
      <c r="A58" s="8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2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9.28125" style="0" customWidth="1"/>
    <col min="2" max="2" width="6.57421875" style="0" customWidth="1"/>
    <col min="3" max="3" width="2.57421875" style="0" customWidth="1"/>
    <col min="4" max="4" width="2.7109375" style="0" customWidth="1"/>
    <col min="5" max="5" width="19.421875" style="0" customWidth="1"/>
    <col min="6" max="6" width="6.00390625" style="0" customWidth="1"/>
    <col min="7" max="7" width="2.00390625" style="0" customWidth="1"/>
    <col min="8" max="8" width="21.00390625" style="0" customWidth="1"/>
    <col min="9" max="9" width="21.28125" style="0" customWidth="1"/>
    <col min="10" max="10" width="24.57421875" style="0" customWidth="1"/>
    <col min="11" max="11" width="10.8515625" style="0" customWidth="1"/>
    <col min="12" max="12" width="1.28515625" style="0" customWidth="1"/>
  </cols>
  <sheetData>
    <row r="1" s="101" customFormat="1" ht="12.75">
      <c r="Z1" s="102"/>
    </row>
    <row r="2" spans="1:71" s="101" customFormat="1" ht="12.75" hidden="1">
      <c r="A2" s="103"/>
      <c r="D2" s="104" t="s">
        <v>99</v>
      </c>
      <c r="E2" s="104" t="s">
        <v>100</v>
      </c>
      <c r="F2" s="105" t="s">
        <v>101</v>
      </c>
      <c r="G2" s="104" t="s">
        <v>102</v>
      </c>
      <c r="H2" s="106" t="s">
        <v>103</v>
      </c>
      <c r="I2" s="104" t="s">
        <v>104</v>
      </c>
      <c r="J2" s="104"/>
      <c r="K2" s="104"/>
      <c r="L2" s="104"/>
      <c r="M2" s="107" t="s">
        <v>105</v>
      </c>
      <c r="N2" s="104" t="s">
        <v>106</v>
      </c>
      <c r="O2" s="107" t="s">
        <v>107</v>
      </c>
      <c r="P2" s="108"/>
      <c r="Q2" s="109" t="s">
        <v>108</v>
      </c>
      <c r="R2" s="109" t="s">
        <v>109</v>
      </c>
      <c r="S2" s="109" t="s">
        <v>110</v>
      </c>
      <c r="T2" s="109" t="s">
        <v>111</v>
      </c>
      <c r="U2" s="109" t="s">
        <v>112</v>
      </c>
      <c r="W2" s="110" t="s">
        <v>113</v>
      </c>
      <c r="X2" s="110" t="s">
        <v>114</v>
      </c>
      <c r="Y2" s="110" t="s">
        <v>115</v>
      </c>
      <c r="Z2" s="110" t="s">
        <v>116</v>
      </c>
      <c r="AA2" s="110" t="s">
        <v>117</v>
      </c>
      <c r="AB2" s="110" t="s">
        <v>118</v>
      </c>
      <c r="AC2" s="110" t="s">
        <v>119</v>
      </c>
      <c r="AE2" s="111" t="s">
        <v>120</v>
      </c>
      <c r="AF2" s="112" t="s">
        <v>121</v>
      </c>
      <c r="AG2" s="113" t="s">
        <v>122</v>
      </c>
      <c r="AH2" s="113" t="s">
        <v>123</v>
      </c>
      <c r="AI2" s="114" t="s">
        <v>124</v>
      </c>
      <c r="AJ2" s="108"/>
      <c r="AK2" s="115" t="s">
        <v>125</v>
      </c>
      <c r="AL2" s="108" t="s">
        <v>126</v>
      </c>
      <c r="AM2" s="108" t="s">
        <v>127</v>
      </c>
      <c r="AN2" s="108" t="s">
        <v>128</v>
      </c>
      <c r="AO2" s="103" t="s">
        <v>129</v>
      </c>
      <c r="AP2" s="108" t="s">
        <v>130</v>
      </c>
      <c r="AQ2" s="108" t="s">
        <v>131</v>
      </c>
      <c r="AR2" s="108" t="s">
        <v>132</v>
      </c>
      <c r="AS2" s="108" t="s">
        <v>133</v>
      </c>
      <c r="AT2" s="108" t="s">
        <v>134</v>
      </c>
      <c r="AU2" s="108" t="s">
        <v>135</v>
      </c>
      <c r="AV2" s="108" t="s">
        <v>136</v>
      </c>
      <c r="AW2" s="108" t="s">
        <v>137</v>
      </c>
      <c r="AX2" s="108" t="s">
        <v>138</v>
      </c>
      <c r="AY2" s="108" t="s">
        <v>139</v>
      </c>
      <c r="AZ2" s="108"/>
      <c r="BA2" s="103" t="s">
        <v>140</v>
      </c>
      <c r="BB2" s="103" t="s">
        <v>141</v>
      </c>
      <c r="BC2" s="103" t="s">
        <v>142</v>
      </c>
      <c r="BD2" s="103" t="s">
        <v>143</v>
      </c>
      <c r="BE2" s="103" t="s">
        <v>144</v>
      </c>
      <c r="BF2" s="103" t="s">
        <v>145</v>
      </c>
      <c r="BG2" s="103" t="s">
        <v>146</v>
      </c>
      <c r="BH2" s="103" t="s">
        <v>147</v>
      </c>
      <c r="BI2" s="108" t="s">
        <v>148</v>
      </c>
      <c r="BJ2" s="103" t="s">
        <v>149</v>
      </c>
      <c r="BK2" s="103" t="s">
        <v>150</v>
      </c>
      <c r="BL2" s="103" t="s">
        <v>151</v>
      </c>
      <c r="BM2" s="116" t="s">
        <v>152</v>
      </c>
      <c r="BN2" s="116" t="s">
        <v>153</v>
      </c>
      <c r="BO2" s="116" t="s">
        <v>154</v>
      </c>
      <c r="BP2" s="103" t="s">
        <v>155</v>
      </c>
      <c r="BQ2" s="103" t="s">
        <v>156</v>
      </c>
      <c r="BR2" s="103" t="s">
        <v>157</v>
      </c>
      <c r="BS2" s="103" t="s">
        <v>158</v>
      </c>
    </row>
    <row r="3" spans="1:72" s="103" customFormat="1" ht="12.75" hidden="1">
      <c r="A3" s="103" t="s">
        <v>159</v>
      </c>
      <c r="B3" s="103" t="s">
        <v>160</v>
      </c>
      <c r="C3" s="103" t="s">
        <v>161</v>
      </c>
      <c r="D3" s="117">
        <f>B17</f>
        <v>-15</v>
      </c>
      <c r="E3" s="117">
        <f>B18</f>
        <v>70</v>
      </c>
      <c r="F3" s="118">
        <f>6.112*10^(7.5*D3/(237.7+D3))*0.01*E3</f>
        <v>1.3369571493377648</v>
      </c>
      <c r="G3" s="117">
        <v>1000</v>
      </c>
      <c r="H3" s="117">
        <f>IF(B19=0,0.25,IF(B19&gt;23,15,B19*0.66))</f>
        <v>3.3000000000000003</v>
      </c>
      <c r="I3" s="117">
        <f>B20</f>
        <v>7</v>
      </c>
      <c r="J3" s="117"/>
      <c r="K3" s="117"/>
      <c r="L3" s="117"/>
      <c r="M3" s="119">
        <f>IF(N12&lt;0,0.1,N12)</f>
        <v>20.048355570420178</v>
      </c>
      <c r="N3" s="120">
        <f>IF(I3&gt;=80,D3,IF(AND(I3&lt;80,D3&gt;=0),(D3*1.25),D3*0.9))</f>
        <v>-13.5</v>
      </c>
      <c r="O3" s="121">
        <f>(((AK3+AL3+AM3)/(0.95*0.0000000567))^0.25)-273</f>
        <v>-4.060598792533199</v>
      </c>
      <c r="P3" s="122"/>
      <c r="Q3" s="123">
        <v>135</v>
      </c>
      <c r="R3" s="123">
        <f>IF(D3&lt;-30,3,IF(D3&gt;25,0.6,-0.0436*D3+1.691))</f>
        <v>2.345</v>
      </c>
      <c r="S3" s="123">
        <f>IF(F20=1,60,IF(F20=2,30,5))</f>
        <v>30</v>
      </c>
      <c r="T3" s="123">
        <v>1.1</v>
      </c>
      <c r="U3" s="123">
        <f>(26.4+0.02138*O3+0.2095*D3-0.0185*E3-0.009*H3)+((R3-1)*0.6)+0.00128*Q3</f>
        <v>22.82578439781564</v>
      </c>
      <c r="W3" s="124">
        <f>AK3*AX3</f>
        <v>12.809360184180855</v>
      </c>
      <c r="X3" s="124">
        <f>AW3*(D3-U3)*AX3</f>
        <v>-162.93994339906865</v>
      </c>
      <c r="Y3" s="124">
        <f>IF(F17=1,(AR3*SQRT(H3+T3)*(F3-AQ3)*AP3*AY3-(0.42*((Q3)-58)-5.04)),(AR3*SQRT(H3+T3)*(F3-AQ3)*AP3*AY3-(0.42*((Q3)-58)-5.04))*0.8)</f>
        <v>-28.285922388822936</v>
      </c>
      <c r="Z3" s="125">
        <f>W3+AB3</f>
        <v>-20.499223511352348</v>
      </c>
      <c r="AA3" s="124">
        <f>0.0014*(Q3)*(D3-35)+0.0173*Q3*(0.1*F3-5.624)</f>
        <v>-22.272605657772164</v>
      </c>
      <c r="AB3" s="126">
        <f>(AL3+AM3-AN3)*AX3</f>
        <v>-33.3085836955332</v>
      </c>
      <c r="AC3" s="127">
        <f>Q3+Z3+AA3+X3+Y3</f>
        <v>-98.9976949570161</v>
      </c>
      <c r="AE3" s="128">
        <f>IF(BK3&lt;0,BA3-BL3,BA3+BL3)</f>
        <v>-18.073412607153443</v>
      </c>
      <c r="AF3" s="112">
        <f>X3/Y3</f>
        <v>5.7604606687124935</v>
      </c>
      <c r="AG3" s="129">
        <f>22.4+0.18*Q3+0.25*(5*D3+2.66*F3)</f>
        <v>28.839076504309617</v>
      </c>
      <c r="AH3" s="129">
        <f>(90-22.4-0.25*(5*D3+2.66*F3))/0.18</f>
        <v>474.782908309391</v>
      </c>
      <c r="AI3" s="130">
        <f>-2.6*(AR3*SQRT(H3+T3)*(BR3-AQ3)*AP3*AY3-(0.42*(Q3-58)-5.04))</f>
        <v>73.66342018969631</v>
      </c>
      <c r="AJ3" s="131"/>
      <c r="AK3" s="131">
        <f>IF(M12&lt;=0,0,SUM(BM3:BQ3))</f>
        <v>81.69321448519587</v>
      </c>
      <c r="AL3" s="132">
        <f>0.5*0.97*0.0000000567*(273+N3)^4</f>
        <v>124.7022375720837</v>
      </c>
      <c r="AM3" s="132">
        <f>0.5*(0.97*0.0000000567*(273+D3)^4)*(0.82-0.25*10^(-0.094*0.75*F3))</f>
        <v>75.39378325968748</v>
      </c>
      <c r="AN3" s="132">
        <f>(0.95*0.0000000567*(273+U3)^4)</f>
        <v>412.52546562150735</v>
      </c>
      <c r="AO3" s="133">
        <f>D3+0.42*(1-0.009*I3)*(100-S3)*1/(0.61+1.9*H3^0.5)-0.15673*Q3*(1-1/(0.61+1.9*H3^0.5))</f>
        <v>-24.16640588474921</v>
      </c>
      <c r="AP3" s="131">
        <f>IF(U3&gt;36.5,1,IF(U3&lt;22,0.002,(1.031/(37.5-U3))-0.065))</f>
        <v>0.005259292077358341</v>
      </c>
      <c r="AQ3" s="132">
        <f>EXP(0.058*U3+2.003)</f>
        <v>27.851741478741026</v>
      </c>
      <c r="AR3" s="132">
        <f>D3*(-0.00002*G3+0.00006*D3+0.011)+0.02*G3-0.773</f>
        <v>19.3755</v>
      </c>
      <c r="AS3" s="132">
        <f>0.056*D3+4.48</f>
        <v>3.6400000000000006</v>
      </c>
      <c r="AT3" s="132">
        <f>0.95*0.0000000567*(273+D3)^4</f>
        <v>238.66321576103996</v>
      </c>
      <c r="AU3" s="132">
        <f>-0.04*D3+0.013*G3-0.503</f>
        <v>13.097</v>
      </c>
      <c r="AV3" s="132">
        <f>AU3*0.53/(R3*(1-0.27*(H3+T3)^0.4))</f>
        <v>5.785553226768357</v>
      </c>
      <c r="AW3" s="132">
        <f>AU3*SQRT(H3+T3)</f>
        <v>27.47249896896895</v>
      </c>
      <c r="AX3" s="134">
        <f>AV3/(AV3+AW3+AS3)</f>
        <v>0.1567983371067143</v>
      </c>
      <c r="AY3" s="134">
        <f>AV3/(AV3+AW3)</f>
        <v>0.17395947281332047</v>
      </c>
      <c r="AZ3" s="134"/>
      <c r="BA3" s="135">
        <f>(((W3+(AL3+AM3)*AX3+0.5*AN3)/(0.95*0.0000000567))^0.25)-273</f>
        <v>-11.872739366489952</v>
      </c>
      <c r="BB3" s="135">
        <f>IF(Y3&lt;-50,(Y3+50)*0.066,0)</f>
        <v>0</v>
      </c>
      <c r="BC3" s="135">
        <f>IF(Y3&gt;0,U3,U3+BB3)</f>
        <v>22.82578439781564</v>
      </c>
      <c r="BD3" s="135">
        <f>IF(BC3&lt;22,22,BC3)</f>
        <v>22.82578439781564</v>
      </c>
      <c r="BE3" s="134">
        <f>IF(BD3&gt;36.5,1,(1.031/(37.5-BD3))-0.065)</f>
        <v>0.005259292077358341</v>
      </c>
      <c r="BF3" s="132">
        <f>EXP(0.058*BD3+2.003)</f>
        <v>27.851741478741026</v>
      </c>
      <c r="BG3" s="131">
        <f>AR3*SQRT(H3+T3)*(BS3-BF3)*BE3*AY3-(0.42*(Q3-58)-5.04)</f>
        <v>-28.271466261552455</v>
      </c>
      <c r="BH3" s="131">
        <f>AW3*(BA3-BD3)*AX3</f>
        <v>-149.4688236660516</v>
      </c>
      <c r="BI3" s="131">
        <f>(AL3+AM3-(0.95*0.0000000567*(273+BD3)^4))*AX3</f>
        <v>-33.3085836955332</v>
      </c>
      <c r="BJ3" s="132">
        <f>W3+BI3</f>
        <v>-20.499223511352348</v>
      </c>
      <c r="BK3" s="131">
        <f>Q3+BH3+BG3+BJ3+AA3</f>
        <v>-85.51211909672857</v>
      </c>
      <c r="BL3" s="136">
        <f>(((ABS(BK3))^0.75/(0.00000005386)+273^4)^0.25)-273</f>
        <v>6.200673240663491</v>
      </c>
      <c r="BM3" s="131">
        <f>IF(M3&lt;=4,1.4*(1.388+0.215*M3)^2*(1-0.01*S3),0)</f>
        <v>0</v>
      </c>
      <c r="BN3" s="131">
        <f>IF(AND(M3&gt;4,I3&lt;3),1.4*(-100.428+73.981*LN(M3))*(1-0.01*S3),0)</f>
        <v>0</v>
      </c>
      <c r="BO3" s="131">
        <f>IF(AND(M3&gt;4,I3&gt;=3,I3&lt;5),1.4*EXP(5.383-16.072/(M3))*(1-0.01*S3),0)</f>
        <v>0</v>
      </c>
      <c r="BP3" s="131">
        <f>IF(AND(M3&gt;4,I3&gt;=5,I3&lt;8),1.4*EXP(5.012-11.805/(M3))*(1-0.01*S3),0)</f>
        <v>81.69321448519587</v>
      </c>
      <c r="BQ3" s="131">
        <f>IF(AND(M3&gt;4,I3&gt;7),1.4*0.951*(M3)^1.039*(1-0.01*S3),0)</f>
        <v>0</v>
      </c>
      <c r="BR3" s="133">
        <f>6.112*10^(7.5*D3/(237.7+D3))*0.05</f>
        <v>0.09549693923841177</v>
      </c>
      <c r="BS3" s="118">
        <f>6.112*10^(7.5*BA3/(237.7+BA3))*0.01*E3</f>
        <v>1.725731256874574</v>
      </c>
      <c r="BT3" s="103">
        <f>IF(BK3&lt;0,((1800000-ABS(AA3)*1200*1.6)/(ABS(BK3)*1.6))/60,((900000-ABS(AA3)*1200*1.6)/(ABS(BK3)*1.6))/60)</f>
        <v>214.0579379881703</v>
      </c>
    </row>
    <row r="4" s="101" customFormat="1" ht="12.75" hidden="1"/>
    <row r="5" spans="1:72" s="101" customFormat="1" ht="12.75" hidden="1">
      <c r="A5" s="101" t="s">
        <v>162</v>
      </c>
      <c r="B5" s="101" t="s">
        <v>160</v>
      </c>
      <c r="C5" s="101" t="s">
        <v>163</v>
      </c>
      <c r="D5" s="117">
        <f>B17</f>
        <v>-15</v>
      </c>
      <c r="E5" s="117">
        <f>B18</f>
        <v>70</v>
      </c>
      <c r="F5" s="118">
        <f>6.112*10^(7.5*D5/(237.7+D5))*0.01*E5</f>
        <v>1.3369571493377648</v>
      </c>
      <c r="G5" s="117">
        <v>1000</v>
      </c>
      <c r="H5" s="117">
        <f>IF(B19=0,0.25,IF(B19&gt;23,15,B19*0.66))</f>
        <v>3.3000000000000003</v>
      </c>
      <c r="I5" s="117">
        <f>B20</f>
        <v>7</v>
      </c>
      <c r="J5" s="117"/>
      <c r="K5" s="117"/>
      <c r="L5" s="117"/>
      <c r="M5" s="119">
        <f>IF(N12&lt;0,0.1,N12)</f>
        <v>20.048355570420178</v>
      </c>
      <c r="N5" s="120">
        <f>IF(I5&gt;=80,D5,IF(AND(I5&lt;80,D5&gt;=0),(D5*1.25),D5*0.9))</f>
        <v>-13.5</v>
      </c>
      <c r="O5" s="121">
        <f>(((AK5+AL5+AM5)/(0.95*0.0000000567))^0.25)-273</f>
        <v>-19.88394991682341</v>
      </c>
      <c r="P5" s="122"/>
      <c r="Q5" s="123">
        <v>135</v>
      </c>
      <c r="R5" s="123">
        <f>IF(D5&lt;-30,3,IF(D5&gt;25,0.6,-0.0436*D5+1.691))</f>
        <v>2.345</v>
      </c>
      <c r="S5" s="123">
        <f>IF(F20=1,60,IF(F20=2,30,5))</f>
        <v>30</v>
      </c>
      <c r="T5" s="123">
        <v>1.1</v>
      </c>
      <c r="U5" s="123">
        <f>((26.4+0.02138*O5+0.2095*D5-0.0185*E5-0.009*H5)+((R5-1)*0.6)+0.00128*Q5)*0.96</f>
        <v>21.587981904747174</v>
      </c>
      <c r="V5" s="103"/>
      <c r="W5" s="124">
        <f>AK5*AX5</f>
        <v>3.293122398862785</v>
      </c>
      <c r="X5" s="124">
        <f>AW5*(D5-U5)*AX5</f>
        <v>-157.60793320098142</v>
      </c>
      <c r="Y5" s="124">
        <f>IF(F20=1,(AR5*SQRT(H5+T5)*(F5-AQ5)*AP5*AY5-(0.42*((Q5)-58)-5.04)),(AR5*SQRT(H5+T5)*(F5-AQ5)*AP5*AY5-(0.42*((Q5)-58)-5.04))*0.8)</f>
        <v>-22.118114282825218</v>
      </c>
      <c r="Z5" s="125">
        <f>W5+AB5</f>
        <v>-28.939638337586025</v>
      </c>
      <c r="AA5" s="124">
        <f>0.0014*(Q5)*(D5-35)+0.0173*Q5*(0.1*F5-5.624)</f>
        <v>-22.272605657772164</v>
      </c>
      <c r="AB5" s="126">
        <f>(AL5+AM5-AN5)*AX5</f>
        <v>-32.23276073644881</v>
      </c>
      <c r="AC5" s="127">
        <f>Q5+Z5+AA5+X5+Y5</f>
        <v>-95.93829147916482</v>
      </c>
      <c r="AD5" s="103"/>
      <c r="AE5" s="128">
        <f>IF(BK5&lt;0,BA5-BL5,BA5+BL5)</f>
        <v>-22.50262888227701</v>
      </c>
      <c r="AF5" s="112">
        <f>X5/Y5</f>
        <v>7.1257400692320525</v>
      </c>
      <c r="AG5" s="129">
        <f>22.4+0.18*Q5+0.25*(5*AO5+2.66*F5)</f>
        <v>11.325148828030123</v>
      </c>
      <c r="AH5" s="129">
        <f>(90-22.4-0.25*(5*D5+2.66*F5))/0.18</f>
        <v>474.782908309391</v>
      </c>
      <c r="AI5" s="130">
        <f>-2.6*(AR5*SQRT(H5+T5)*(BR5-AQ5)*AP5*AY5-(0.42*(Q5-58)-5.04))</f>
        <v>71.92951329530949</v>
      </c>
      <c r="AJ5" s="131"/>
      <c r="AK5" s="131">
        <f>IF(M12&lt;=0,0,SUM(BM5:BQ5))</f>
        <v>21.00227884828614</v>
      </c>
      <c r="AL5" s="132">
        <f>0.5*0.97*0.0000000567*(273+N5)^4</f>
        <v>124.7022375720837</v>
      </c>
      <c r="AM5" s="132">
        <f>0.5*(0.97*0.0000000567*(273+D5)^4)*(0.82-0.25*10^(-0.094*0.75*F5))</f>
        <v>75.39378325968748</v>
      </c>
      <c r="AN5" s="132">
        <f>(0.95*0.0000000567*(273+U5)^4)</f>
        <v>405.66427704683383</v>
      </c>
      <c r="AO5" s="133">
        <f>D5+0.42*(1-0.009*I5)*(100-80)*1/(0.61+1.9*H5^0.5)-0.15673*Q5*(1-1/(0.61+1.9*H5^0.5))</f>
        <v>-29.011142141023594</v>
      </c>
      <c r="AP5" s="131">
        <f>IF(U5&gt;36.5,1,IF(U5&lt;22,0.002,(1.031/(37.5-U5))-0.065))</f>
        <v>0.002</v>
      </c>
      <c r="AQ5" s="132">
        <f>EXP(0.058*U5+2.003)</f>
        <v>25.922283107998975</v>
      </c>
      <c r="AR5" s="132">
        <f>D5*(-0.00002*G5+0.00006*D5+0.011)+0.02*G5-0.773</f>
        <v>19.3755</v>
      </c>
      <c r="AS5" s="132">
        <f>0.056*D5+4.48</f>
        <v>3.6400000000000006</v>
      </c>
      <c r="AT5" s="132">
        <f>0.95*0.0000000567*(273+D5)^4</f>
        <v>238.66321576103996</v>
      </c>
      <c r="AU5" s="132">
        <f>-0.04*D5+0.013*G5-0.503</f>
        <v>13.097</v>
      </c>
      <c r="AV5" s="132">
        <f>AU5*0.53/(R5*(1-0.27*(H5+T5)^0.4))</f>
        <v>5.785553226768357</v>
      </c>
      <c r="AW5" s="132">
        <f>AU5*SQRT(H5+T5)</f>
        <v>27.47249896896895</v>
      </c>
      <c r="AX5" s="134">
        <f>AV5/(AV5+AW5+AS5)</f>
        <v>0.1567983371067143</v>
      </c>
      <c r="AY5" s="134">
        <f>AV5/(AV5+AW5)</f>
        <v>0.17395947281332047</v>
      </c>
      <c r="AZ5" s="134"/>
      <c r="BA5" s="135">
        <f>(((W5+(AL5+AM5)*AX5+0.5*AN5)/(0.95*0.0000000567))^0.25)-273</f>
        <v>-15.314945707397726</v>
      </c>
      <c r="BB5" s="135">
        <f>IF(Y5&lt;-50,(Y5+50)*0.066,0)</f>
        <v>0</v>
      </c>
      <c r="BC5" s="135">
        <f>IF(Y5&gt;0,U5,U5+BB5)</f>
        <v>21.587981904747174</v>
      </c>
      <c r="BD5" s="135">
        <f>IF(BC5&lt;22,22,BC5)</f>
        <v>22</v>
      </c>
      <c r="BE5" s="134">
        <f>IF(BD5&gt;36.5,1,(1.031/(37.5-BD5))-0.065)</f>
        <v>0.0015161290322580623</v>
      </c>
      <c r="BF5" s="132">
        <f>EXP(0.058*BD5+2.003)</f>
        <v>26.549210210632246</v>
      </c>
      <c r="BG5" s="131">
        <f>AR5*SQRT(H5+T5)*(BS5-BF5)*BE5*AY5-(0.42*(Q5-58)-5.04)</f>
        <v>-27.57062515329139</v>
      </c>
      <c r="BH5" s="131">
        <f>AW5*(BA5-BD5)*AX5</f>
        <v>-160.73943312207473</v>
      </c>
      <c r="BI5" s="131">
        <f>(AL5+AM5-(0.95*0.0000000567*(273+BD5)^4))*AX5</f>
        <v>-32.589360039632936</v>
      </c>
      <c r="BJ5" s="132">
        <f>W5+BI5</f>
        <v>-29.29623764077015</v>
      </c>
      <c r="BK5" s="131">
        <f>Q5+BH5+BG5+BJ5+AA5</f>
        <v>-104.87890157390844</v>
      </c>
      <c r="BL5" s="136">
        <f>(((ABS(BK5))^0.75/(0.00000005386)+273^4)^0.25)-273</f>
        <v>7.187683174879282</v>
      </c>
      <c r="BM5" s="131"/>
      <c r="BN5" s="131"/>
      <c r="BO5" s="131"/>
      <c r="BP5" s="131"/>
      <c r="BQ5" s="131">
        <f>1.4*0.951*(M5)^1.039*(1-0.01*S5)</f>
        <v>21.00227884828614</v>
      </c>
      <c r="BR5" s="133">
        <f>6.112*10^(7.5*D5/(237.7+D5))*0.05</f>
        <v>0.09549693923841177</v>
      </c>
      <c r="BS5" s="118">
        <f>6.112*10^(7.5*BA5/(237.7+BA5))*0.01*E5</f>
        <v>1.3025080950159431</v>
      </c>
      <c r="BT5" s="103">
        <f>IF(BK5&lt;0,((1800000-ABS(AA5)*1200*1.6)/(ABS(BK5)*1.6))/60,((900000-ABS(AA5)*1200*1.6)/(ABS(BK5)*1.6))/60)</f>
        <v>174.53031650932473</v>
      </c>
    </row>
    <row r="6" s="101" customFormat="1" ht="12.75" hidden="1"/>
    <row r="7" spans="1:72" s="103" customFormat="1" ht="12.75" hidden="1">
      <c r="A7" s="103" t="s">
        <v>159</v>
      </c>
      <c r="B7" s="103" t="s">
        <v>160</v>
      </c>
      <c r="C7" s="103" t="s">
        <v>164</v>
      </c>
      <c r="D7" s="117">
        <f>B17</f>
        <v>-15</v>
      </c>
      <c r="E7" s="117">
        <f>B18</f>
        <v>70</v>
      </c>
      <c r="F7" s="118">
        <f>6.112*10^(7.5*D7/(237.7+D7))*0.01*E7</f>
        <v>1.3369571493377648</v>
      </c>
      <c r="G7" s="117">
        <v>1000</v>
      </c>
      <c r="H7" s="117">
        <f>IF(B19=0,0.25,IF(B19&gt;23,15,B19*0.66))</f>
        <v>3.3000000000000003</v>
      </c>
      <c r="I7" s="117">
        <f>B20</f>
        <v>7</v>
      </c>
      <c r="J7" s="117"/>
      <c r="K7" s="117"/>
      <c r="L7" s="117"/>
      <c r="M7" s="119">
        <f>IF(N12&lt;0,0.1,N12)</f>
        <v>20.048355570420178</v>
      </c>
      <c r="N7" s="120">
        <f>IF(I7&gt;=80,D7,IF(AND(I7&lt;80,D7&gt;=0),(D7*1.25),D7*0.9))</f>
        <v>-13.5</v>
      </c>
      <c r="O7" s="121">
        <f>(((AK7+AL7+AM7)/(0.95*0.0000000567))^0.25)-273</f>
        <v>-4.060598792533199</v>
      </c>
      <c r="P7" s="122"/>
      <c r="Q7" s="123">
        <f>IF(F17=1,135,125)</f>
        <v>135</v>
      </c>
      <c r="R7" s="123">
        <f>IF(D7&lt;-30,3,IF(D7&gt;25,0.6,-0.0436*D7+1.691))</f>
        <v>2.345</v>
      </c>
      <c r="S7" s="123">
        <f>IF(F20=1,60,IF(F20=2,30,5))</f>
        <v>30</v>
      </c>
      <c r="T7" s="123">
        <v>1.1</v>
      </c>
      <c r="U7" s="123">
        <f>(26.4+0.02138*O7+0.2095*D7-0.0185*E7-0.009*H7)+((R7-1)*0.6)+0.00128*Q7</f>
        <v>22.82578439781564</v>
      </c>
      <c r="W7" s="124">
        <f>AK7*AX7</f>
        <v>12.809360184180855</v>
      </c>
      <c r="X7" s="124">
        <f>AW7*(D7-U7)*AX7</f>
        <v>-162.93994339906865</v>
      </c>
      <c r="Y7" s="124">
        <f>IF(F17=1,(AR7*SQRT(H7+T7)*(F7-AQ7)*AP7*AY7-(0.42*((Q7)-58)-5.04)),(AR7*SQRT(H7+T7)*(F7-AQ7)*AP7*AY7-(0.42*((Q7)-58)-5.04))*0.8)</f>
        <v>-28.285922388822936</v>
      </c>
      <c r="Z7" s="125">
        <f>W7+AB7</f>
        <v>-20.499223511352348</v>
      </c>
      <c r="AA7" s="124">
        <f>0.0014*(Q7)*(D7-35)+0.0173*Q7*(0.1*F7-5.624)</f>
        <v>-22.272605657772164</v>
      </c>
      <c r="AB7" s="126">
        <f>(AL7+AM7-AN7)*AX7</f>
        <v>-33.3085836955332</v>
      </c>
      <c r="AC7" s="127">
        <f>Q7+Z7+AA7+X7+Y7</f>
        <v>-98.9976949570161</v>
      </c>
      <c r="AE7" s="128">
        <f>IF(BK7&lt;0,BA7-BL7,BA7+BL7)</f>
        <v>-18.073412607153443</v>
      </c>
      <c r="AF7" s="112">
        <f>X7/Y7</f>
        <v>5.7604606687124935</v>
      </c>
      <c r="AG7" s="129">
        <f>22.4+0.18*Q7+0.25*(5*D7+2.66*F7)</f>
        <v>28.839076504309617</v>
      </c>
      <c r="AH7" s="129">
        <f>(90-22.4-0.25*(5*D7+2.66*F7))/0.18</f>
        <v>474.782908309391</v>
      </c>
      <c r="AI7" s="130">
        <f>-2.6*(AR7*SQRT(H7+T7)*(BR7-AQ7)*AP7*AY7-(0.42*(Q7-58)-5.04))</f>
        <v>73.66342018969631</v>
      </c>
      <c r="AJ7" s="131"/>
      <c r="AK7" s="131">
        <f>IF(M12&lt;=0,0,SUM(BM7:BQ7))</f>
        <v>81.69321448519587</v>
      </c>
      <c r="AL7" s="132">
        <f>0.5*0.97*0.0000000567*(273+N7)^4</f>
        <v>124.7022375720837</v>
      </c>
      <c r="AM7" s="132">
        <f>0.5*(0.97*0.0000000567*(273+D7)^4)*(0.82-0.25*10^(-0.094*0.75*F7))</f>
        <v>75.39378325968748</v>
      </c>
      <c r="AN7" s="132">
        <f>(0.95*0.0000000567*(273+U7)^4)</f>
        <v>412.52546562150735</v>
      </c>
      <c r="AO7" s="133">
        <f>D7+0.42*(1-0.009*I7)*(100-S7)*1/(0.61+1.9*H7^0.5)-0.15673*Q7*(1-1/(0.61+1.9*H7^0.5))</f>
        <v>-24.16640588474921</v>
      </c>
      <c r="AP7" s="131">
        <f>IF(U7&gt;36.5,1,IF(U7&lt;22,0.002,(1.031/(37.5-U7))-0.065))</f>
        <v>0.005259292077358341</v>
      </c>
      <c r="AQ7" s="132">
        <f>EXP(0.058*U7+2.003)</f>
        <v>27.851741478741026</v>
      </c>
      <c r="AR7" s="132">
        <f>D7*(-0.00002*G7+0.00006*D7+0.011)+0.02*G7-0.773</f>
        <v>19.3755</v>
      </c>
      <c r="AS7" s="132">
        <f>0.056*D7+4.48</f>
        <v>3.6400000000000006</v>
      </c>
      <c r="AT7" s="132">
        <f>0.95*0.0000000567*(273+D7)^4</f>
        <v>238.66321576103996</v>
      </c>
      <c r="AU7" s="132">
        <f>-0.04*D7+0.013*G7-0.503</f>
        <v>13.097</v>
      </c>
      <c r="AV7" s="132">
        <f>AU7*0.53/(R7*(1-0.27*(H7+T7)^0.4))</f>
        <v>5.785553226768357</v>
      </c>
      <c r="AW7" s="132">
        <f>AU7*SQRT(H7+T7)</f>
        <v>27.47249896896895</v>
      </c>
      <c r="AX7" s="134">
        <f>AV7/(AV7+AW7+AS7)</f>
        <v>0.1567983371067143</v>
      </c>
      <c r="AY7" s="134">
        <f>AV7/(AV7+AW7)</f>
        <v>0.17395947281332047</v>
      </c>
      <c r="AZ7" s="134"/>
      <c r="BA7" s="135">
        <f>(((W7+(AL7+AM7)*AX7+0.5*AN7)/(0.95*0.0000000567))^0.25)-273</f>
        <v>-11.872739366489952</v>
      </c>
      <c r="BB7" s="135">
        <f>IF(Y7&lt;-50,(Y7+50)*0.066,0)</f>
        <v>0</v>
      </c>
      <c r="BC7" s="135">
        <f>IF(Y7&gt;0,U7,U7+BB7)</f>
        <v>22.82578439781564</v>
      </c>
      <c r="BD7" s="135">
        <f>IF(BC7&lt;22,22,BC7)</f>
        <v>22.82578439781564</v>
      </c>
      <c r="BE7" s="134">
        <f>IF(BD7&gt;36.5,1,(1.031/(37.5-BD7))-0.065)</f>
        <v>0.005259292077358341</v>
      </c>
      <c r="BF7" s="132">
        <f>EXP(0.058*BD7+2.003)</f>
        <v>27.851741478741026</v>
      </c>
      <c r="BG7" s="131">
        <f>AR7*SQRT(H7+T7)*(BS7-BF7)*BE7*AY7-(0.42*(Q7-58)-5.04)</f>
        <v>-28.271466261552455</v>
      </c>
      <c r="BH7" s="131">
        <f>AW7*(BA7-BD7)*AX7</f>
        <v>-149.4688236660516</v>
      </c>
      <c r="BI7" s="131">
        <f>(AL7+AM7-(0.95*0.0000000567*(273+BD7)^4))*AX7</f>
        <v>-33.3085836955332</v>
      </c>
      <c r="BJ7" s="132">
        <f>W7+BI7</f>
        <v>-20.499223511352348</v>
      </c>
      <c r="BK7" s="131">
        <f>Q7+BH7+BG7+BJ7+AA7</f>
        <v>-85.51211909672857</v>
      </c>
      <c r="BL7" s="136">
        <f>(((ABS(BK7))^0.75/(0.00000005386)+273^4)^0.25)-273</f>
        <v>6.200673240663491</v>
      </c>
      <c r="BM7" s="131">
        <f>IF(M7&lt;=4,1.4*(1.388+0.215*M7)^2*(1-0.01*S7),0)</f>
        <v>0</v>
      </c>
      <c r="BN7" s="131">
        <f>IF(AND(M7&gt;4,I7&lt;3),1.4*(-100.428+73.981*LN(M7))*(1-0.01*S7),0)</f>
        <v>0</v>
      </c>
      <c r="BO7" s="131">
        <f>IF(AND(M7&gt;4,I7&gt;=3,I7&lt;5),1.4*EXP(5.383-16.072/(M7))*(1-0.01*S7),0)</f>
        <v>0</v>
      </c>
      <c r="BP7" s="131">
        <f>IF(AND(M7&gt;4,I7&gt;=5,I7&lt;8),1.4*EXP(5.012-11.805/(M7))*(1-0.01*S7),0)</f>
        <v>81.69321448519587</v>
      </c>
      <c r="BQ7" s="131">
        <f>IF(AND(M7&gt;4,I7&gt;7),1.4*0.951*(M7)^1.039*(1-0.01*S7),0)</f>
        <v>0</v>
      </c>
      <c r="BR7" s="133">
        <f>6.112*10^(7.5*D7/(237.7+D7))*0.05</f>
        <v>0.09549693923841177</v>
      </c>
      <c r="BS7" s="118">
        <f>6.112*10^(7.5*BA7/(237.7+BA7))*0.01*E7</f>
        <v>1.725731256874574</v>
      </c>
      <c r="BT7" s="103">
        <f>IF(BK7&lt;0,((1800000-ABS(AA7)*1200*1.6)/(ABS(BK7)*1.6))/60,((900000-ABS(AA7)*1200*1.6)/(ABS(BK7)*1.6))/60)</f>
        <v>214.0579379881703</v>
      </c>
    </row>
    <row r="8" s="101" customFormat="1" ht="12.75" hidden="1"/>
    <row r="9" spans="1:72" s="103" customFormat="1" ht="12.75" hidden="1">
      <c r="A9" s="103" t="s">
        <v>159</v>
      </c>
      <c r="B9" s="103" t="s">
        <v>160</v>
      </c>
      <c r="C9" s="103" t="s">
        <v>165</v>
      </c>
      <c r="D9" s="117">
        <f>B17</f>
        <v>-15</v>
      </c>
      <c r="E9" s="117">
        <f>B18</f>
        <v>70</v>
      </c>
      <c r="F9" s="118">
        <f>6.112*10^(7.5*D9/(237.7+D9))*0.01*E9</f>
        <v>1.3369571493377648</v>
      </c>
      <c r="G9" s="117">
        <v>1000</v>
      </c>
      <c r="H9" s="117">
        <f>IF(B19=0,0.25,IF(B19&gt;23,15,B19*0.66))</f>
        <v>3.3000000000000003</v>
      </c>
      <c r="I9" s="117">
        <f>B20</f>
        <v>7</v>
      </c>
      <c r="J9" s="117"/>
      <c r="K9" s="117"/>
      <c r="L9" s="117"/>
      <c r="M9" s="119">
        <f>IF(N12&lt;0,0.1,N12)</f>
        <v>20.048355570420178</v>
      </c>
      <c r="N9" s="120">
        <f>IF(I9&gt;=80,D9,IF(AND(I9&lt;80,D9&gt;=0),(D9*1.25),D9*0.9))</f>
        <v>-13.5</v>
      </c>
      <c r="O9" s="121">
        <f>(((AK9+AL9+AM9)/(0.95*0.0000000567))^0.25)-273</f>
        <v>-4.060598792533199</v>
      </c>
      <c r="P9" s="122"/>
      <c r="Q9" s="123">
        <f>IF(F17=1,180,160)</f>
        <v>180</v>
      </c>
      <c r="R9" s="123">
        <f>IF(D9&lt;-30,3,IF(D9&gt;25,0.6,-0.0436*D9+1.691))</f>
        <v>2.345</v>
      </c>
      <c r="S9" s="123">
        <f>IF(F20=1,60,IF(F20=2,30,5))</f>
        <v>30</v>
      </c>
      <c r="T9" s="123">
        <v>2</v>
      </c>
      <c r="U9" s="123">
        <f>(26.4+0.02138*O9+0.2095*D9-0.0185*E9-0.009*H9)+((R9-1)*0.6)+0.00128*Q9</f>
        <v>22.88338439781564</v>
      </c>
      <c r="W9" s="124">
        <f>AK9*AX9</f>
        <v>12.744989005511353</v>
      </c>
      <c r="X9" s="124">
        <f>AW9*(D9-U9)*AX9</f>
        <v>-178.2017698833977</v>
      </c>
      <c r="Y9" s="124">
        <f>IF(F26=1,(AR9*SQRT(H9+T9)*(F9-AQ9)*AP9*AY9-(0.42*((Q9)-58)-5.04)),(AR9*SQRT(H9+T9)*(F9-AQ9)*AP9*AY9-(0.42*((Q9)-58)-5.04))*0.8)</f>
        <v>-37.862090883732556</v>
      </c>
      <c r="Z9" s="125">
        <f>W9+AB9</f>
        <v>-20.446347497149613</v>
      </c>
      <c r="AA9" s="124">
        <f>0.0014*(Q9)*(D9-35)+0.0173*Q9*(0.1*F9-5.624)</f>
        <v>-29.696807543696217</v>
      </c>
      <c r="AB9" s="126">
        <f>(AL9+AM9-AN9)*AX9</f>
        <v>-33.19133650266097</v>
      </c>
      <c r="AC9" s="127">
        <f>Q9+Z9+AA9+X9+Y9</f>
        <v>-86.20701580797609</v>
      </c>
      <c r="AE9" s="128">
        <f>IF(BK9&lt;0,BA9-BL9,BA9+BL9)</f>
        <v>-17.85127972125997</v>
      </c>
      <c r="AF9" s="112">
        <f>X9/Y9</f>
        <v>4.706601397968808</v>
      </c>
      <c r="AG9" s="129">
        <f>22.4+0.18*Q9+0.25*(5*D9+2.66*F9)</f>
        <v>36.93907650430961</v>
      </c>
      <c r="AH9" s="129">
        <f>(90-22.4-0.25*(5*D9+2.66*F9))/0.18</f>
        <v>474.782908309391</v>
      </c>
      <c r="AI9" s="130">
        <f>-2.6*(AR9*SQRT(H9+T9)*(BR9-AQ9)*AP9*AY9-(0.42*(Q9-58)-5.04))</f>
        <v>123.18858540044215</v>
      </c>
      <c r="AJ9" s="131"/>
      <c r="AK9" s="131">
        <f>IF(M12&lt;=0,0,SUM(BM9:BQ9))</f>
        <v>81.69321448519587</v>
      </c>
      <c r="AL9" s="132">
        <f>0.5*0.97*0.0000000567*(273+N9)^4</f>
        <v>124.7022375720837</v>
      </c>
      <c r="AM9" s="132">
        <f>0.5*(0.97*0.0000000567*(273+D9)^4)*(0.82-0.25*10^(-0.094*0.75*F9))</f>
        <v>75.39378325968748</v>
      </c>
      <c r="AN9" s="132">
        <f>(0.95*0.0000000567*(273+U9)^4)</f>
        <v>412.8468494742791</v>
      </c>
      <c r="AO9" s="133">
        <f>D9+0.42*(1-0.009*I9)*(100-S9)*1/(0.61+1.9*H9^0.5)-0.15673*Q9*(1-1/(0.61+1.9*H9^0.5))</f>
        <v>-29.48275143259366</v>
      </c>
      <c r="AP9" s="131">
        <f>IF(U9&gt;36.5,1,IF(U9&lt;22,0.002,(1.031/(37.5-U9))-0.065))</f>
        <v>0.005536164325613338</v>
      </c>
      <c r="AQ9" s="132">
        <f>EXP(0.058*U9+2.003)</f>
        <v>27.944944175772502</v>
      </c>
      <c r="AR9" s="132">
        <f>D9*(-0.00002*G9+0.00006*D9+0.011)+0.02*G9-0.773</f>
        <v>19.3755</v>
      </c>
      <c r="AS9" s="132">
        <f>0.056*D9+4.48</f>
        <v>3.6400000000000006</v>
      </c>
      <c r="AT9" s="132">
        <f>0.95*0.0000000567*(273+D9)^4</f>
        <v>238.66321576103996</v>
      </c>
      <c r="AU9" s="132">
        <f>-0.04*D9+0.013*G9-0.503</f>
        <v>13.097</v>
      </c>
      <c r="AV9" s="132">
        <f>AU9*0.53/(R9*(1-0.27*(H9+T9)^0.4))</f>
        <v>6.246325209535028</v>
      </c>
      <c r="AW9" s="132">
        <f>AU9*SQRT(H9+T9)</f>
        <v>30.151558296379974</v>
      </c>
      <c r="AX9" s="134">
        <f>AV9/(AV9+AW9+AS9)</f>
        <v>0.15601037473951954</v>
      </c>
      <c r="AY9" s="134">
        <f>AV9/(AV9+AW9)</f>
        <v>0.17161231939543795</v>
      </c>
      <c r="AZ9" s="134"/>
      <c r="BA9" s="135">
        <f>(((W9+(AL9+AM9)*AX9+0.5*AN9)/(0.95*0.0000000567))^0.25)-273</f>
        <v>-11.888731730592497</v>
      </c>
      <c r="BB9" s="135">
        <f>IF(Y9&lt;-50,(Y9+50)*0.066,0)</f>
        <v>0</v>
      </c>
      <c r="BC9" s="135">
        <f>IF(Y9&gt;0,U9,U9+BB9)</f>
        <v>22.88338439781564</v>
      </c>
      <c r="BD9" s="135">
        <f>IF(BC9&lt;22,22,BC9)</f>
        <v>22.88338439781564</v>
      </c>
      <c r="BE9" s="134">
        <f>IF(BD9&gt;36.5,1,(1.031/(37.5-BD9))-0.065)</f>
        <v>0.005536164325613338</v>
      </c>
      <c r="BF9" s="132">
        <f>EXP(0.058*BD9+2.003)</f>
        <v>27.944944175772502</v>
      </c>
      <c r="BG9" s="131">
        <f>AR9*SQRT(H9+T9)*(BS9-BF9)*BE9*AY9-(0.42*(Q9-58)-5.04)</f>
        <v>-47.31123192746521</v>
      </c>
      <c r="BH9" s="131">
        <f>AW9*(BA9-BD9)*AX9</f>
        <v>-163.56650112366034</v>
      </c>
      <c r="BI9" s="131">
        <f>(AL9+AM9-(0.95*0.0000000567*(273+BD9)^4))*AX9</f>
        <v>-33.19133650266097</v>
      </c>
      <c r="BJ9" s="132">
        <f>W9+BI9</f>
        <v>-20.446347497149613</v>
      </c>
      <c r="BK9" s="131">
        <f>Q9+BH9+BG9+BJ9+AA9</f>
        <v>-81.02088809197139</v>
      </c>
      <c r="BL9" s="136">
        <f>(((ABS(BK9))^0.75/(0.00000005386)+273^4)^0.25)-273</f>
        <v>5.962547990667474</v>
      </c>
      <c r="BM9" s="131">
        <f>IF(M9&lt;=4,1.4*(1.388+0.215*M9)^2*(1-0.01*S9),0)</f>
        <v>0</v>
      </c>
      <c r="BN9" s="131">
        <f>IF(AND(M9&gt;4,I9&lt;3),1.4*(-100.428+73.981*LN(M9))*(1-0.01*S9),0)</f>
        <v>0</v>
      </c>
      <c r="BO9" s="131">
        <f>IF(AND(M9&gt;4,I9&gt;=3,I9&lt;5),1.4*EXP(5.383-16.072/(M9))*(1-0.01*S9),0)</f>
        <v>0</v>
      </c>
      <c r="BP9" s="131">
        <f>IF(AND(M9&gt;4,I9&gt;=5,I9&lt;8),1.4*EXP(5.012-11.805/(M9))*(1-0.01*S9),0)</f>
        <v>81.69321448519587</v>
      </c>
      <c r="BQ9" s="131">
        <f>IF(AND(M9&gt;4,I9&gt;7),1.4*0.951*(M9)^1.039*(1-0.01*S9),0)</f>
        <v>0</v>
      </c>
      <c r="BR9" s="133">
        <f>6.112*10^(7.5*D9/(237.7+D9))*0.05</f>
        <v>0.09549693923841177</v>
      </c>
      <c r="BS9" s="118">
        <f>6.112*10^(7.5*BA9/(237.7+BA9))*0.01*E9</f>
        <v>1.7235110651633276</v>
      </c>
      <c r="BT9" s="103">
        <f>IF(BK9&lt;0,((1800000-ABS(AA9)*1200*1.6)/(ABS(BK9)*1.6))/60,((900000-ABS(AA9)*1200*1.6)/(ABS(BK9)*1.6))/60)</f>
        <v>224.09114830383123</v>
      </c>
    </row>
    <row r="10" spans="9:11" s="101" customFormat="1" ht="12.75" hidden="1">
      <c r="I10" s="137">
        <f>AF3</f>
        <v>5.7604606687124935</v>
      </c>
      <c r="J10" s="137">
        <f>AF5</f>
        <v>7.1257400692320525</v>
      </c>
      <c r="K10" s="137">
        <f>AF9</f>
        <v>4.706601397968808</v>
      </c>
    </row>
    <row r="11" spans="1:14" s="101" customFormat="1" ht="12.75" hidden="1">
      <c r="A11" s="101" t="s">
        <v>166</v>
      </c>
      <c r="B11" s="101" t="s">
        <v>167</v>
      </c>
      <c r="C11" s="101" t="s">
        <v>167</v>
      </c>
      <c r="D11" s="101" t="s">
        <v>168</v>
      </c>
      <c r="E11" s="101" t="s">
        <v>169</v>
      </c>
      <c r="F11" s="101" t="s">
        <v>170</v>
      </c>
      <c r="G11" s="101" t="s">
        <v>171</v>
      </c>
      <c r="H11" s="101" t="s">
        <v>172</v>
      </c>
      <c r="I11" s="101" t="s">
        <v>173</v>
      </c>
      <c r="J11" s="101" t="s">
        <v>174</v>
      </c>
      <c r="K11" s="101" t="s">
        <v>175</v>
      </c>
      <c r="L11" s="101" t="s">
        <v>176</v>
      </c>
      <c r="M11" s="101" t="s">
        <v>177</v>
      </c>
      <c r="N11" s="101" t="s">
        <v>178</v>
      </c>
    </row>
    <row r="12" spans="1:14" s="101" customFormat="1" ht="12.75" hidden="1">
      <c r="A12" s="101">
        <f>PI()/180</f>
        <v>0.017453292519943295</v>
      </c>
      <c r="B12" s="101">
        <f>B27+B28/60</f>
        <v>46.2</v>
      </c>
      <c r="C12" s="101">
        <f>B12*A12</f>
        <v>0.8063421144213803</v>
      </c>
      <c r="D12" s="101">
        <f>B25</f>
        <v>12</v>
      </c>
      <c r="E12" s="101">
        <f>B26</f>
        <v>0</v>
      </c>
      <c r="F12" s="101">
        <f>D12+E12/60</f>
        <v>12</v>
      </c>
      <c r="G12" s="101">
        <f>IF(F12&lt;=11.5,172.5-F12*15,F12*15-172.5)</f>
        <v>7.5</v>
      </c>
      <c r="H12" s="101">
        <f>IF(B23&lt;=6,D14,J14)</f>
        <v>354</v>
      </c>
      <c r="I12" s="101">
        <f>(2*PI()*H12)/365</f>
        <v>6.093829037648147</v>
      </c>
      <c r="J12" s="101">
        <f>-0.006758*COS(2*I12)+0.000907*SIN(2*I12)</f>
        <v>-0.0066144778186644935</v>
      </c>
      <c r="K12" s="101">
        <f>-0.002697*COS(3*I12)+0.00148*SIN(3*I12)</f>
        <v>-0.0030696609801225327</v>
      </c>
      <c r="L12" s="101">
        <f>0.006918-0.399912*COS(I12)+0.070257*SIN(I12)+J12+K12</f>
        <v>-0.4087541980461276</v>
      </c>
      <c r="M12" s="101">
        <f>SIN(C12)*SIN(L12)+COS(C12)*COS(L12)*COS(G12*(PI()/180))</f>
        <v>0.342813088088931</v>
      </c>
      <c r="N12" s="138">
        <f>ASIN(M12)/(PI()/180)</f>
        <v>20.048355570420178</v>
      </c>
    </row>
    <row r="13" spans="4:15" s="101" customFormat="1" ht="12.75" hidden="1">
      <c r="D13" s="101">
        <v>0</v>
      </c>
      <c r="E13" s="101">
        <v>31</v>
      </c>
      <c r="F13" s="101">
        <v>59</v>
      </c>
      <c r="G13" s="101">
        <v>90</v>
      </c>
      <c r="H13" s="101">
        <v>120</v>
      </c>
      <c r="I13" s="101">
        <v>151</v>
      </c>
      <c r="J13" s="101">
        <v>181</v>
      </c>
      <c r="K13" s="101">
        <v>212</v>
      </c>
      <c r="L13" s="101">
        <v>243</v>
      </c>
      <c r="M13" s="101">
        <v>273</v>
      </c>
      <c r="N13" s="101">
        <v>304</v>
      </c>
      <c r="O13" s="101">
        <v>334</v>
      </c>
    </row>
    <row r="14" spans="4:10" s="101" customFormat="1" ht="12.75" hidden="1">
      <c r="D14" s="101">
        <f>IF(B23=1,0+B24,IF(B23=2,31+B24,IF(B23=3,59+B24,IF(B23=4,90+B24,IF(B23=5,120+B24,IF(B23=6,151+B24,))))))</f>
        <v>0</v>
      </c>
      <c r="J14" s="101">
        <f>IF(B23=7,181+B24,IF(B23=8,212+B24,IF(B23=9,243+B24,IF(B23=10,273+B24,IF(B23=11,304+B24,IF(B23=12,334+B24,))))))</f>
        <v>354</v>
      </c>
    </row>
    <row r="15" spans="8:13" s="101" customFormat="1" ht="12.75">
      <c r="H15" s="139" t="s">
        <v>179</v>
      </c>
      <c r="I15" s="105"/>
      <c r="J15" s="105"/>
      <c r="K15" s="103"/>
      <c r="M15" s="140" t="s">
        <v>180</v>
      </c>
    </row>
    <row r="16" spans="1:11" s="101" customFormat="1" ht="12.75">
      <c r="A16" s="141" t="s">
        <v>181</v>
      </c>
      <c r="B16" s="142"/>
      <c r="E16" s="143" t="s">
        <v>182</v>
      </c>
      <c r="F16" s="144"/>
      <c r="H16" s="139" t="s">
        <v>183</v>
      </c>
      <c r="I16" s="145"/>
      <c r="J16" s="105"/>
      <c r="K16" s="103"/>
    </row>
    <row r="17" spans="1:11" s="101" customFormat="1" ht="27.75" customHeight="1">
      <c r="A17" s="146" t="s">
        <v>184</v>
      </c>
      <c r="B17" s="147">
        <v>-15</v>
      </c>
      <c r="E17" s="143" t="s">
        <v>185</v>
      </c>
      <c r="F17" s="148">
        <v>1</v>
      </c>
      <c r="H17" s="149" t="s">
        <v>186</v>
      </c>
      <c r="I17" s="149" t="s">
        <v>5</v>
      </c>
      <c r="J17" s="149" t="s">
        <v>6</v>
      </c>
      <c r="K17" s="188"/>
    </row>
    <row r="18" spans="1:11" s="101" customFormat="1" ht="26.25" customHeight="1">
      <c r="A18" s="146" t="s">
        <v>187</v>
      </c>
      <c r="B18" s="147">
        <v>70</v>
      </c>
      <c r="E18" s="151" t="s">
        <v>188</v>
      </c>
      <c r="F18" s="152"/>
      <c r="H18" s="150" t="s">
        <v>189</v>
      </c>
      <c r="I18" s="153">
        <f>AE3</f>
        <v>-18.073412607153443</v>
      </c>
      <c r="J18" s="153">
        <f>AE5</f>
        <v>-22.50262888227701</v>
      </c>
      <c r="K18" s="189"/>
    </row>
    <row r="19" spans="1:11" s="101" customFormat="1" ht="26.25" customHeight="1">
      <c r="A19" s="146" t="s">
        <v>190</v>
      </c>
      <c r="B19" s="147">
        <v>5</v>
      </c>
      <c r="E19" s="144"/>
      <c r="F19" s="152"/>
      <c r="H19" s="150" t="s">
        <v>191</v>
      </c>
      <c r="I19" s="154" t="str">
        <f>IF(I18&lt;-16,"very cold",IF(AND(I18&gt;=-16,I18&lt;4),"cold",IF(AND(I18&gt;4,I18&lt;=14),"cool",IF(AND(I18&gt;14,I18&lt;=24),"comfortable",IF(AND(I18&gt;24,I18&lt;=34),"warm",IF(AND(I18&gt;34,I18&lt;=44),"hot",IF(AND(I18&gt;44,I18&lt;=54),"very hot","sweltering")))))))</f>
        <v>very cold</v>
      </c>
      <c r="J19" s="154" t="str">
        <f>IF(J18&lt;-16,"very cold",IF(AND(J18&gt;=-16,J18&lt;4),"cold",IF(AND(J18&gt;4,J18&lt;=14),"cool",IF(AND(J18&gt;14,J18&lt;=24),"comfortable",IF(AND(J18&gt;24,J18&lt;=34),"warm",IF(AND(J18&gt;34,J18&lt;=44),"hot",IF(AND(J18&gt;44,J18&lt;=54),"very hot","sweltering")))))))</f>
        <v>very cold</v>
      </c>
      <c r="K19" s="190"/>
    </row>
    <row r="20" spans="1:11" s="101" customFormat="1" ht="22.5" customHeight="1">
      <c r="A20" s="146" t="s">
        <v>192</v>
      </c>
      <c r="B20" s="147">
        <v>7</v>
      </c>
      <c r="E20" s="143" t="s">
        <v>193</v>
      </c>
      <c r="F20" s="148">
        <v>2</v>
      </c>
      <c r="H20" s="150" t="s">
        <v>194</v>
      </c>
      <c r="I20" s="154" t="str">
        <f>IF(I10&gt;8,"very intensive to cold",IF(AND(I10&lt;=8,I10&gt;4),"intensive to cold",IF(AND(I10&lt;=4,I10&gt;1.5),"moderate to cold",IF(AND(I10&lt;=1.5,I10&gt;0.74),"thermoneutral",IF(AND(I10&lt;=0.74,I10&gt;0.24),"moderate to heat",IF(AND(I10&lt;=0.24,I10&gt;=0),"intensive to heat","very intensive to heat"))))))</f>
        <v>intensive to cold</v>
      </c>
      <c r="J20" s="154" t="str">
        <f>IF(J10&gt;8,"very intensive to cold",IF(AND(J10&lt;=8,J10&gt;4),"intensive to cold",IF(AND(J10&lt;=4,J10&gt;1.5),"moderate to cold",IF(AND(J10&lt;=1.5,J10&gt;0.74),"thermoneutral",IF(AND(J10&lt;=0.74,J10&gt;0.24),"moderate to heat",IF(AND(J10&lt;=0.24,J10&gt;=0),"intensive to heat","very intensive to heat"))))))</f>
        <v>intensive to cold</v>
      </c>
      <c r="K20" s="190"/>
    </row>
    <row r="21" spans="1:11" s="101" customFormat="1" ht="18.75" customHeight="1">
      <c r="A21" s="155"/>
      <c r="B21" s="156"/>
      <c r="E21" s="144" t="s">
        <v>195</v>
      </c>
      <c r="F21" s="152"/>
      <c r="H21" s="150" t="s">
        <v>196</v>
      </c>
      <c r="I21" s="153">
        <f>AI3</f>
        <v>73.66342018969631</v>
      </c>
      <c r="J21" s="153">
        <f>AI5</f>
        <v>71.92951329530949</v>
      </c>
      <c r="K21" s="189"/>
    </row>
    <row r="22" spans="1:11" s="101" customFormat="1" ht="20.25" customHeight="1">
      <c r="A22" s="157" t="s">
        <v>197</v>
      </c>
      <c r="B22" s="158"/>
      <c r="E22" s="144" t="s">
        <v>198</v>
      </c>
      <c r="F22" s="152"/>
      <c r="H22" s="150" t="s">
        <v>199</v>
      </c>
      <c r="I22" s="159">
        <f>IF(AG3&lt;=60,60,AG3)</f>
        <v>60</v>
      </c>
      <c r="J22" s="159">
        <f>IF(AG5&lt;=60,60,AG5)</f>
        <v>60</v>
      </c>
      <c r="K22" s="191"/>
    </row>
    <row r="23" spans="1:11" s="101" customFormat="1" ht="24.75" customHeight="1">
      <c r="A23" s="160" t="s">
        <v>200</v>
      </c>
      <c r="B23" s="161">
        <v>12</v>
      </c>
      <c r="E23" s="144" t="s">
        <v>201</v>
      </c>
      <c r="F23" s="152"/>
      <c r="H23" s="150" t="s">
        <v>202</v>
      </c>
      <c r="I23" s="162">
        <f>BT3*2</f>
        <v>428.1158759763406</v>
      </c>
      <c r="J23" s="162">
        <f>BT5*2</f>
        <v>349.06063301864947</v>
      </c>
      <c r="K23" s="192"/>
    </row>
    <row r="24" spans="1:2" s="101" customFormat="1" ht="19.5" customHeight="1">
      <c r="A24" s="160" t="s">
        <v>203</v>
      </c>
      <c r="B24" s="161">
        <v>20</v>
      </c>
    </row>
    <row r="25" spans="1:10" s="101" customFormat="1" ht="30" customHeight="1">
      <c r="A25" s="160" t="s">
        <v>204</v>
      </c>
      <c r="B25" s="161">
        <v>12</v>
      </c>
      <c r="I25" s="163" t="s">
        <v>5</v>
      </c>
      <c r="J25" s="163" t="s">
        <v>6</v>
      </c>
    </row>
    <row r="26" spans="1:10" s="101" customFormat="1" ht="15.75">
      <c r="A26" s="160" t="s">
        <v>205</v>
      </c>
      <c r="B26" s="161">
        <v>0</v>
      </c>
      <c r="H26" s="193" t="s">
        <v>206</v>
      </c>
      <c r="I26" s="164">
        <f>UTCI!F2</f>
        <v>-30.562962618380205</v>
      </c>
      <c r="J26" s="164">
        <f>UTCI!F3</f>
        <v>-34.3726496923573</v>
      </c>
    </row>
    <row r="27" spans="1:10" s="101" customFormat="1" ht="18" customHeight="1">
      <c r="A27" s="165" t="s">
        <v>216</v>
      </c>
      <c r="B27" s="161">
        <v>46</v>
      </c>
      <c r="I27" s="166" t="str">
        <f>IF(I26&lt;-40,"extreme cold stress",IF(AND(I26&gt;=-40,I26&lt;-27),"very strong cold stress",IF(AND(I26&gt;=-27,I26&lt;-13),"strong cold stress",IF(AND(I26&gt;=-13,I26&lt;0),"moderate cold stress",IF(AND(I26&gt;=0,I26&lt;=9),"mild cold stress",IF(AND(I26&gt;9,I26&lt;=26),"no thermal stress"," "))))))</f>
        <v>very strong cold stress</v>
      </c>
      <c r="J27" s="166" t="str">
        <f>IF(J26&lt;-40,"extreme cold stress",IF(AND(J26&gt;=-40,J26&lt;-27),"very strong cold stress",IF(AND(J26&gt;=-27,J26&lt;-13),"strong cold stress",IF(AND(J26&gt;=-13,J26&lt;0),"moderate cold stress",IF(AND(J26&gt;=0,J26&lt;=9),"mild cold stress",IF(AND(J26&gt;9,J26&lt;=26),"no thermal stress"," "))))))</f>
        <v>very strong cold stress</v>
      </c>
    </row>
    <row r="28" spans="1:10" s="101" customFormat="1" ht="18" customHeight="1">
      <c r="A28" s="165" t="s">
        <v>217</v>
      </c>
      <c r="B28" s="161">
        <v>12</v>
      </c>
      <c r="I28" s="167" t="str">
        <f>IF(I26&gt;46,"extreme heat stress",IF(AND(I26&gt;38,I26&lt;=46),"very strong heat stress",IF(AND(I26&gt;32,I26&lt;=38),"strong heat stress",IF(AND(I26&gt;26,I26&lt;=32),"moderate heat stress"," "))))</f>
        <v> </v>
      </c>
      <c r="J28" s="167" t="str">
        <f>IF(J26&gt;46,"extreme heat stress",IF(AND(J26&gt;38,J26&lt;=46),"very strong heat stress",IF(AND(J26&gt;32,J26&lt;=38),"strong heat stress",IF(AND(J26&gt;26,J26&lt;=32),"moderate heat stress"," "))))</f>
        <v> </v>
      </c>
    </row>
    <row r="29" s="101" customFormat="1" ht="12.75"/>
    <row r="30" spans="1:11" s="101" customFormat="1" ht="12.75">
      <c r="A30" s="168"/>
      <c r="B30" s="169"/>
      <c r="H30" s="170" t="s">
        <v>207</v>
      </c>
      <c r="I30" s="171"/>
      <c r="J30" s="186" t="s">
        <v>218</v>
      </c>
      <c r="K30" s="186" t="s">
        <v>219</v>
      </c>
    </row>
    <row r="31" spans="1:11" s="101" customFormat="1" ht="12.75">
      <c r="A31" s="169"/>
      <c r="B31" s="169"/>
      <c r="E31" s="169"/>
      <c r="H31" s="173" t="s">
        <v>208</v>
      </c>
      <c r="I31" s="171" t="s">
        <v>209</v>
      </c>
      <c r="J31" s="172">
        <f>Cheek!B5</f>
        <v>1</v>
      </c>
      <c r="K31" s="172">
        <f>Finger!B4</f>
        <v>2</v>
      </c>
    </row>
    <row r="32" spans="1:11" s="101" customFormat="1" ht="12.75">
      <c r="A32" s="174" t="s">
        <v>210</v>
      </c>
      <c r="H32" s="173" t="s">
        <v>211</v>
      </c>
      <c r="I32" s="175" t="s">
        <v>212</v>
      </c>
      <c r="J32" s="185">
        <f>Cheek!C5</f>
      </c>
      <c r="K32" s="187">
        <f>Finger!C4</f>
      </c>
    </row>
    <row r="33" spans="1:11" s="101" customFormat="1" ht="12.75">
      <c r="A33" s="101" t="s">
        <v>213</v>
      </c>
      <c r="H33" s="171"/>
      <c r="I33" s="171"/>
      <c r="J33" s="172" t="s">
        <v>169</v>
      </c>
      <c r="K33" s="172" t="s">
        <v>214</v>
      </c>
    </row>
    <row r="34" spans="8:11" s="101" customFormat="1" ht="12.75">
      <c r="H34" s="175" t="s">
        <v>215</v>
      </c>
      <c r="I34" s="171"/>
      <c r="J34" s="185">
        <f>Cheek!B3</f>
        <v>-3.016095889978905</v>
      </c>
      <c r="K34" s="185">
        <f>Finger!C45</f>
        <v>-5.095199794348832</v>
      </c>
    </row>
    <row r="35" s="101" customFormat="1" ht="13.5" thickBot="1"/>
    <row r="36" spans="8:11" s="101" customFormat="1" ht="12.75">
      <c r="H36" s="176" t="s">
        <v>21</v>
      </c>
      <c r="I36" s="177">
        <v>0</v>
      </c>
      <c r="J36" s="178"/>
      <c r="K36" s="178"/>
    </row>
    <row r="37" spans="8:11" s="101" customFormat="1" ht="12.75">
      <c r="H37" s="179" t="s">
        <v>22</v>
      </c>
      <c r="I37" s="180">
        <v>1</v>
      </c>
      <c r="J37" s="181"/>
      <c r="K37" s="181"/>
    </row>
    <row r="38" spans="8:11" s="101" customFormat="1" ht="15" customHeight="1">
      <c r="H38" s="179" t="s">
        <v>23</v>
      </c>
      <c r="I38" s="180">
        <v>2</v>
      </c>
      <c r="J38" s="181" t="s">
        <v>24</v>
      </c>
      <c r="K38" s="181" t="s">
        <v>91</v>
      </c>
    </row>
    <row r="39" spans="8:11" s="101" customFormat="1" ht="12.75">
      <c r="H39" s="179" t="s">
        <v>25</v>
      </c>
      <c r="I39" s="180">
        <v>3</v>
      </c>
      <c r="J39" s="181" t="s">
        <v>26</v>
      </c>
      <c r="K39" s="181" t="s">
        <v>92</v>
      </c>
    </row>
    <row r="40" spans="8:11" s="101" customFormat="1" ht="12.75">
      <c r="H40" s="179" t="s">
        <v>27</v>
      </c>
      <c r="I40" s="180">
        <v>4</v>
      </c>
      <c r="J40" s="181" t="s">
        <v>28</v>
      </c>
      <c r="K40" s="181" t="s">
        <v>93</v>
      </c>
    </row>
    <row r="41" spans="8:11" s="101" customFormat="1" ht="12.75">
      <c r="H41" s="179" t="s">
        <v>29</v>
      </c>
      <c r="I41" s="180">
        <v>5</v>
      </c>
      <c r="J41" s="181" t="s">
        <v>30</v>
      </c>
      <c r="K41" s="181" t="s">
        <v>94</v>
      </c>
    </row>
    <row r="42" spans="8:11" s="101" customFormat="1" ht="13.5" thickBot="1">
      <c r="H42" s="182" t="s">
        <v>31</v>
      </c>
      <c r="I42" s="183">
        <v>6</v>
      </c>
      <c r="J42" s="184" t="s">
        <v>32</v>
      </c>
      <c r="K42" s="184" t="s">
        <v>95</v>
      </c>
    </row>
    <row r="43" s="100" customFormat="1" ht="15"/>
    <row r="44" s="100" customFormat="1" ht="15"/>
    <row r="45" s="100" customFormat="1" ht="15"/>
    <row r="46" s="100" customFormat="1" ht="15"/>
    <row r="47" s="100" customFormat="1" ht="15"/>
    <row r="48" s="100" customFormat="1" ht="15"/>
    <row r="49" s="100" customFormat="1" ht="15"/>
    <row r="50" s="100" customFormat="1" ht="15"/>
    <row r="51" s="100" customFormat="1" ht="1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4" sqref="D4"/>
    </sheetView>
  </sheetViews>
  <sheetFormatPr defaultColWidth="9.140625" defaultRowHeight="12.75"/>
  <cols>
    <col min="1" max="1" width="45.00390625" style="0" customWidth="1"/>
    <col min="2" max="2" width="12.421875" style="0" customWidth="1"/>
    <col min="3" max="3" width="15.7109375" style="0" customWidth="1"/>
    <col min="4" max="5" width="8.7109375" style="0" customWidth="1"/>
    <col min="6" max="6" width="9.28125" style="0" customWidth="1"/>
    <col min="7" max="7" width="9.421875" style="0" customWidth="1"/>
    <col min="8" max="8" width="9.28125" style="0" customWidth="1"/>
  </cols>
  <sheetData>
    <row r="1" spans="1:5" ht="19.5">
      <c r="A1" s="3" t="s">
        <v>7</v>
      </c>
      <c r="B1" s="4">
        <f>Calculations!B17</f>
        <v>-15</v>
      </c>
      <c r="C1" s="5" t="s">
        <v>8</v>
      </c>
      <c r="D1" s="6" t="s">
        <v>9</v>
      </c>
      <c r="E1" s="7"/>
    </row>
    <row r="2" spans="1:5" ht="20.25" thickBot="1">
      <c r="A2" s="3" t="s">
        <v>10</v>
      </c>
      <c r="B2" s="8">
        <f>E4</f>
        <v>27</v>
      </c>
      <c r="C2" s="9" t="s">
        <v>8</v>
      </c>
      <c r="D2" s="14" t="s">
        <v>13</v>
      </c>
      <c r="E2" s="11" t="s">
        <v>14</v>
      </c>
    </row>
    <row r="3" spans="1:5" ht="19.5">
      <c r="A3" s="3"/>
      <c r="B3" s="15" t="s">
        <v>15</v>
      </c>
      <c r="C3" s="16" t="s">
        <v>89</v>
      </c>
      <c r="D3" s="14" t="s">
        <v>17</v>
      </c>
      <c r="E3" s="11" t="s">
        <v>18</v>
      </c>
    </row>
    <row r="4" spans="1:5" ht="20.25" thickBot="1">
      <c r="A4" s="3" t="s">
        <v>90</v>
      </c>
      <c r="B4" s="17">
        <f>1*F35+2*F36+3*F37+4*F38+5*F39+6*F40</f>
        <v>2</v>
      </c>
      <c r="C4" s="87">
        <f>IF(H36&lt;=240,H36,"")</f>
      </c>
      <c r="D4" s="19">
        <f>Calculations!B19</f>
        <v>5</v>
      </c>
      <c r="E4" s="20">
        <f>5.4*D4</f>
        <v>27</v>
      </c>
    </row>
    <row r="5" spans="1:3" ht="20.25" thickBot="1">
      <c r="A5" s="3"/>
      <c r="B5" s="21" t="s">
        <v>20</v>
      </c>
      <c r="C5" s="22"/>
    </row>
    <row r="6" spans="1:4" ht="19.5">
      <c r="A6" s="25" t="s">
        <v>21</v>
      </c>
      <c r="B6" s="26">
        <v>0</v>
      </c>
      <c r="C6" s="27"/>
      <c r="D6" s="88"/>
    </row>
    <row r="7" spans="1:4" ht="19.5">
      <c r="A7" s="28" t="s">
        <v>22</v>
      </c>
      <c r="B7" s="29">
        <v>1</v>
      </c>
      <c r="C7" s="30"/>
      <c r="D7" s="88"/>
    </row>
    <row r="8" spans="1:4" ht="19.5">
      <c r="A8" s="28" t="s">
        <v>23</v>
      </c>
      <c r="B8" s="29">
        <v>2</v>
      </c>
      <c r="C8" s="30" t="s">
        <v>91</v>
      </c>
      <c r="D8" s="88"/>
    </row>
    <row r="9" spans="1:4" ht="19.5">
      <c r="A9" s="28" t="s">
        <v>25</v>
      </c>
      <c r="B9" s="29">
        <v>3</v>
      </c>
      <c r="C9" s="30" t="s">
        <v>92</v>
      </c>
      <c r="D9" s="88"/>
    </row>
    <row r="10" spans="1:4" ht="19.5">
      <c r="A10" s="28" t="s">
        <v>27</v>
      </c>
      <c r="B10" s="29">
        <v>4</v>
      </c>
      <c r="C10" s="30" t="s">
        <v>93</v>
      </c>
      <c r="D10" s="88"/>
    </row>
    <row r="11" spans="1:4" ht="19.5">
      <c r="A11" s="28" t="s">
        <v>29</v>
      </c>
      <c r="B11" s="29">
        <v>5</v>
      </c>
      <c r="C11" s="30" t="s">
        <v>94</v>
      </c>
      <c r="D11" s="88"/>
    </row>
    <row r="12" spans="1:4" ht="20.25" thickBot="1">
      <c r="A12" s="31" t="s">
        <v>31</v>
      </c>
      <c r="B12" s="32">
        <v>6</v>
      </c>
      <c r="C12" s="33" t="s">
        <v>95</v>
      </c>
      <c r="D12" s="88"/>
    </row>
    <row r="13" spans="1:4" ht="19.5">
      <c r="A13" s="3"/>
      <c r="B13" s="34"/>
      <c r="C13" s="22"/>
      <c r="D13" s="88"/>
    </row>
    <row r="21" spans="1:8" ht="12.75">
      <c r="A21" s="37" t="s">
        <v>96</v>
      </c>
      <c r="B21" s="38"/>
      <c r="C21" s="38">
        <f>B1</f>
        <v>-15</v>
      </c>
      <c r="D21" s="79">
        <f>(273.15+B1)*(0.6+0.05*SQRT(B43))^0.25-273.15</f>
        <v>-40.721851594509815</v>
      </c>
      <c r="E21" s="79">
        <f>(273.15+C21)*(0.6+0.05*SQRT(C43))^0.25-273.15</f>
        <v>-40.721851594509815</v>
      </c>
      <c r="F21" s="38" t="s">
        <v>34</v>
      </c>
      <c r="G21" s="40"/>
      <c r="H21" s="40"/>
    </row>
    <row r="22" spans="1:8" ht="12.75">
      <c r="A22" s="38" t="s">
        <v>35</v>
      </c>
      <c r="B22" s="38">
        <f>IF(B1&lt;-5,-1,B1+4)</f>
        <v>-1</v>
      </c>
      <c r="C22" s="38">
        <f>B22</f>
        <v>-1</v>
      </c>
      <c r="D22" s="38">
        <f>B1</f>
        <v>-15</v>
      </c>
      <c r="E22" s="38">
        <f>C21</f>
        <v>-15</v>
      </c>
      <c r="F22" s="38" t="s">
        <v>36</v>
      </c>
      <c r="G22" s="40"/>
      <c r="H22" s="40"/>
    </row>
    <row r="23" spans="1:8" ht="12.75">
      <c r="A23" s="38" t="s">
        <v>37</v>
      </c>
      <c r="B23" s="40">
        <f>1.3033-0.005189*(B1+B57)/2</f>
        <v>1.3422174999999998</v>
      </c>
      <c r="C23" s="40">
        <f>1.3033-0.005189*(C21+B47)/2</f>
        <v>1.3566840053703166</v>
      </c>
      <c r="D23" s="81">
        <f>0.5*(B1+E29*D21+E28*D22)</f>
        <v>-27.860925797254907</v>
      </c>
      <c r="E23" s="79">
        <f>D23</f>
        <v>-27.860925797254907</v>
      </c>
      <c r="F23" s="38" t="s">
        <v>38</v>
      </c>
      <c r="G23" s="40"/>
      <c r="H23" s="40"/>
    </row>
    <row r="24" spans="1:8" ht="12.75">
      <c r="A24" s="38" t="s">
        <v>39</v>
      </c>
      <c r="B24" s="38">
        <f>(170.82+0.53436*(B1+B57)/2)*10^-7</f>
        <v>1.6681229999999997E-05</v>
      </c>
      <c r="C24" s="38">
        <f>(170.82+0.53436*(C21+B47)/2)*10^-7</f>
        <v>1.6532254825406006E-05</v>
      </c>
      <c r="D24" s="40">
        <f>4*5.67*10^(-8)*(273.15+(B57+B1)/2)^3</f>
        <v>4.251796900069949</v>
      </c>
      <c r="E24" s="40">
        <f>4*5.67*10^(-8)*(273.15+(B47+E23)/2)^3</f>
        <v>3.824351261559568</v>
      </c>
      <c r="F24" s="38" t="s">
        <v>40</v>
      </c>
      <c r="G24" s="40"/>
      <c r="H24" s="40"/>
    </row>
    <row r="25" spans="1:8" ht="12.75">
      <c r="A25" s="38" t="s">
        <v>41</v>
      </c>
      <c r="B25" s="38">
        <v>0.00776</v>
      </c>
      <c r="C25" s="38">
        <f>B25</f>
        <v>0.00776</v>
      </c>
      <c r="D25" s="47">
        <f>4*5.67*10^(-8)*(273.15+(B45+D23)/2)^3</f>
        <v>3.823206619700991</v>
      </c>
      <c r="E25" s="47">
        <f>4*5.67*10^(-8)*(273.15+(C45+E23)/2)^3</f>
        <v>3.835113447419872</v>
      </c>
      <c r="F25" s="38" t="s">
        <v>40</v>
      </c>
      <c r="G25" s="40"/>
      <c r="H25" s="40"/>
    </row>
    <row r="26" spans="1:8" ht="13.5" thickBot="1">
      <c r="A26" s="38" t="s">
        <v>42</v>
      </c>
      <c r="B26" s="45">
        <v>0.01</v>
      </c>
      <c r="C26" s="45">
        <f>B26</f>
        <v>0.01</v>
      </c>
      <c r="D26" s="45"/>
      <c r="E26" s="38"/>
      <c r="F26" s="38"/>
      <c r="G26" s="47"/>
      <c r="H26" s="47"/>
    </row>
    <row r="27" spans="1:8" ht="13.5" thickBot="1">
      <c r="A27" s="38" t="s">
        <v>43</v>
      </c>
      <c r="B27" s="45">
        <v>0.0083</v>
      </c>
      <c r="C27" s="45">
        <f>B27</f>
        <v>0.0083</v>
      </c>
      <c r="D27" s="89" t="s">
        <v>44</v>
      </c>
      <c r="E27" s="90">
        <v>1</v>
      </c>
      <c r="F27" s="38"/>
      <c r="G27" s="38"/>
      <c r="H27" s="38"/>
    </row>
    <row r="28" spans="1:8" ht="12.75">
      <c r="A28" s="38" t="s">
        <v>45</v>
      </c>
      <c r="B28" s="45">
        <f>B26*LN(B26/B27)/B25</f>
        <v>0.24011543581378034</v>
      </c>
      <c r="C28" s="45">
        <f>C26*LN(C26/C27)/C25</f>
        <v>0.24011543581378034</v>
      </c>
      <c r="D28" s="89" t="s">
        <v>46</v>
      </c>
      <c r="E28" s="89" t="b">
        <f>E27&lt;0.5</f>
        <v>0</v>
      </c>
      <c r="F28" s="38"/>
      <c r="G28" s="38"/>
      <c r="H28" s="38"/>
    </row>
    <row r="29" spans="1:8" ht="12.75">
      <c r="A29" s="38" t="s">
        <v>47</v>
      </c>
      <c r="B29" s="49">
        <f>0.024009+0.000076268*(B1+B57)/2</f>
        <v>0.023436989999999998</v>
      </c>
      <c r="C29" s="49">
        <f>0.024009+0.000076268*(C21+B47)/2</f>
        <v>0.023224361086609496</v>
      </c>
      <c r="D29" s="91" t="s">
        <v>48</v>
      </c>
      <c r="E29" s="89" t="b">
        <f>E27&gt;0.5</f>
        <v>1</v>
      </c>
      <c r="F29" s="51"/>
      <c r="G29" s="52"/>
      <c r="H29" s="53"/>
    </row>
    <row r="30" spans="1:8" ht="12.75">
      <c r="A30" s="38" t="s">
        <v>49</v>
      </c>
      <c r="B30" s="54">
        <v>1010</v>
      </c>
      <c r="C30" s="54">
        <f>B30</f>
        <v>1010</v>
      </c>
      <c r="D30" s="54"/>
      <c r="E30" s="38"/>
      <c r="F30" s="40"/>
      <c r="G30" s="56"/>
      <c r="H30" s="57"/>
    </row>
    <row r="31" spans="1:8" ht="12.75">
      <c r="A31" s="38" t="s">
        <v>50</v>
      </c>
      <c r="B31" s="38">
        <f>B24*B30/B29</f>
        <v>0.7188654473121335</v>
      </c>
      <c r="C31" s="38">
        <f>C24*C30/C29</f>
        <v>0.7189682123607445</v>
      </c>
      <c r="D31" s="38"/>
      <c r="E31" s="38"/>
      <c r="F31" s="38"/>
      <c r="G31" s="38"/>
      <c r="H31" s="38"/>
    </row>
    <row r="32" spans="1:8" ht="12.75">
      <c r="A32" s="38"/>
      <c r="B32" s="38"/>
      <c r="C32" s="38"/>
      <c r="D32" s="38"/>
      <c r="E32" s="38"/>
      <c r="F32" s="38"/>
      <c r="G32" s="38"/>
      <c r="H32" s="38"/>
    </row>
    <row r="33" spans="1:8" ht="12.75">
      <c r="A33" s="38" t="s">
        <v>51</v>
      </c>
      <c r="B33" s="40">
        <f>2/3*B2/3.6</f>
        <v>5</v>
      </c>
      <c r="C33" s="38">
        <f>B33</f>
        <v>5</v>
      </c>
      <c r="D33" s="38"/>
      <c r="E33" s="60" t="s">
        <v>97</v>
      </c>
      <c r="F33" s="92"/>
      <c r="G33" s="93" t="s">
        <v>98</v>
      </c>
      <c r="H33" s="94"/>
    </row>
    <row r="34" spans="1:8" ht="12.75">
      <c r="A34" s="38" t="s">
        <v>54</v>
      </c>
      <c r="B34" s="54">
        <f>2*B26*B33*B23/B24</f>
        <v>8046.27416563407</v>
      </c>
      <c r="C34" s="54">
        <f>2*C26*C23*C33/C24</f>
        <v>8206.285347631028</v>
      </c>
      <c r="D34" s="38"/>
      <c r="E34" s="64">
        <v>0</v>
      </c>
      <c r="F34" s="65">
        <f>1*(C47&gt;=0)</f>
        <v>0</v>
      </c>
      <c r="G34" s="95">
        <f>-0.0166-0.00073011*B1*B2^0.4783</f>
        <v>0.036378644736385274</v>
      </c>
      <c r="H34" s="78">
        <v>-1.786</v>
      </c>
    </row>
    <row r="35" spans="1:8" ht="12.75">
      <c r="A35" s="38" t="s">
        <v>56</v>
      </c>
      <c r="B35" s="49">
        <v>0.193</v>
      </c>
      <c r="C35" s="49">
        <f>B35</f>
        <v>0.193</v>
      </c>
      <c r="D35" s="38"/>
      <c r="E35" s="64">
        <v>1</v>
      </c>
      <c r="F35" s="65">
        <f>1*(0&gt;C47)*(C47&gt;=-4.8)</f>
        <v>0</v>
      </c>
      <c r="G35" s="96">
        <f>G34*(G34&gt;0)+999*(G34&lt;=0)</f>
        <v>0.036378644736385274</v>
      </c>
      <c r="H35" s="78">
        <f>H34*(G34&gt;0)+1*(G34&lt;=0)</f>
        <v>-1.786</v>
      </c>
    </row>
    <row r="36" spans="1:8" ht="12.75">
      <c r="A36" s="38" t="s">
        <v>58</v>
      </c>
      <c r="B36" s="49">
        <v>0.62</v>
      </c>
      <c r="C36" s="49">
        <f>B36</f>
        <v>0.62</v>
      </c>
      <c r="D36" s="38"/>
      <c r="E36" s="64">
        <v>2</v>
      </c>
      <c r="F36" s="65">
        <f>1-SUM(F34:F35,F37:F40)</f>
        <v>1</v>
      </c>
      <c r="G36" s="97">
        <f>G35^H35</f>
        <v>371.81604162269684</v>
      </c>
      <c r="H36" s="98">
        <f>G36*(G36&lt;=240)+999*(G36&gt;240)</f>
        <v>999</v>
      </c>
    </row>
    <row r="37" spans="1:8" ht="12.75">
      <c r="A37" s="38" t="s">
        <v>60</v>
      </c>
      <c r="B37" s="49">
        <v>0.33</v>
      </c>
      <c r="C37" s="49">
        <f>B37</f>
        <v>0.33</v>
      </c>
      <c r="D37" s="38"/>
      <c r="E37" s="64">
        <v>3</v>
      </c>
      <c r="F37" s="65">
        <f>1*(120&lt;=G36)*(G36&lt;240)</f>
        <v>0</v>
      </c>
      <c r="G37" s="38"/>
      <c r="H37" s="38"/>
    </row>
    <row r="38" spans="1:8" ht="12.75">
      <c r="A38" s="38" t="s">
        <v>62</v>
      </c>
      <c r="B38" s="40">
        <f>B35*B34^B36*B31^B37</f>
        <v>45.67933917880675</v>
      </c>
      <c r="C38" s="40">
        <f>C35*C34^C36*C31^C37*(1-(50/90)^3)</f>
        <v>38.31349914142109</v>
      </c>
      <c r="D38" s="38"/>
      <c r="E38" s="64">
        <v>4</v>
      </c>
      <c r="F38" s="65">
        <f>1*(60&lt;=G36)*(G36&lt;120)</f>
        <v>0</v>
      </c>
      <c r="G38" s="38"/>
      <c r="H38" s="38"/>
    </row>
    <row r="39" spans="1:8" ht="12.75">
      <c r="A39" s="38" t="s">
        <v>64</v>
      </c>
      <c r="B39" s="40">
        <f>B38*B29/(2*B26)</f>
        <v>53.52931077701509</v>
      </c>
      <c r="C39" s="40">
        <f>C38*C29/(2*C26)</f>
        <v>44.490326927593316</v>
      </c>
      <c r="D39" s="38"/>
      <c r="E39" s="64">
        <v>5</v>
      </c>
      <c r="F39" s="65">
        <f>1*(30&lt;=G36)*(G36&lt;60)</f>
        <v>0</v>
      </c>
      <c r="G39" s="38"/>
      <c r="H39" s="38"/>
    </row>
    <row r="40" spans="1:8" ht="12.75">
      <c r="A40" s="38" t="s">
        <v>66</v>
      </c>
      <c r="B40" s="49">
        <f>B26*LN(B26/B27)</f>
        <v>0.0018632957819149354</v>
      </c>
      <c r="C40" s="49">
        <f>C26*LN(C26/C27)</f>
        <v>0.0018632957819149354</v>
      </c>
      <c r="D40" s="38"/>
      <c r="E40" s="99">
        <v>6</v>
      </c>
      <c r="F40" s="73">
        <f>1*(G36&lt;30)</f>
        <v>0</v>
      </c>
      <c r="G40" s="38"/>
      <c r="H40" s="47"/>
    </row>
    <row r="41" spans="1:8" ht="12.75">
      <c r="A41" s="38" t="s">
        <v>68</v>
      </c>
      <c r="B41" s="49">
        <f>B39*B40</f>
        <v>0.09974093897962591</v>
      </c>
      <c r="C41" s="49">
        <f>C39*C40</f>
        <v>0.0828986385002011</v>
      </c>
      <c r="D41" s="38"/>
      <c r="E41" s="38"/>
      <c r="F41" s="38"/>
      <c r="G41" s="38"/>
      <c r="H41" s="47"/>
    </row>
    <row r="42" spans="1:8" ht="12.75">
      <c r="A42" s="38" t="s">
        <v>69</v>
      </c>
      <c r="B42" s="38">
        <v>70</v>
      </c>
      <c r="C42" s="38">
        <f>B42</f>
        <v>70</v>
      </c>
      <c r="D42" s="38"/>
      <c r="E42" s="56"/>
      <c r="F42" s="56"/>
      <c r="G42" s="52"/>
      <c r="H42" s="52"/>
    </row>
    <row r="43" spans="1:8" ht="12.75">
      <c r="A43" s="38" t="s">
        <v>73</v>
      </c>
      <c r="B43" s="40">
        <f>9.87*(B42/100)*EXP(16.6536-4030.183/(235+B1))</f>
        <v>1.3065776961605722</v>
      </c>
      <c r="C43" s="40">
        <f>9.87*(C42/100)*EXP(16.6536-4030.183/(235+C21))</f>
        <v>1.3065776961605722</v>
      </c>
      <c r="D43" s="38"/>
      <c r="E43" s="56"/>
      <c r="F43" s="56"/>
      <c r="G43" s="56"/>
      <c r="H43" s="56"/>
    </row>
    <row r="44" spans="1:8" ht="12.75">
      <c r="A44" s="38"/>
      <c r="B44" s="38"/>
      <c r="C44" s="38"/>
      <c r="D44" s="38"/>
      <c r="E44" s="56"/>
      <c r="F44" s="56"/>
      <c r="G44" s="56"/>
      <c r="H44" s="56"/>
    </row>
    <row r="45" spans="1:8" ht="12.75">
      <c r="A45" s="38" t="s">
        <v>76</v>
      </c>
      <c r="B45" s="79">
        <f>(B25*(B39*B1+D24*D23)+B22)/(B25*(B39+D24)+1)</f>
        <v>-5.627007929918443</v>
      </c>
      <c r="C45" s="79">
        <f>(C25*(C39*C21+E24*E23)+C22)/(C25*(C39+E24)+1)</f>
        <v>-5.095199794348832</v>
      </c>
      <c r="D45" s="38"/>
      <c r="E45" s="56"/>
      <c r="F45" s="56"/>
      <c r="G45" s="56"/>
      <c r="H45" s="56"/>
    </row>
    <row r="46" spans="1:8" ht="12.75">
      <c r="A46" s="38" t="s">
        <v>78</v>
      </c>
      <c r="B46" s="79"/>
      <c r="C46" s="79"/>
      <c r="D46" s="38"/>
      <c r="E46" s="56"/>
      <c r="F46" s="56"/>
      <c r="G46" s="56"/>
      <c r="H46" s="56"/>
    </row>
    <row r="47" spans="1:8" ht="12.75">
      <c r="A47" s="38" t="s">
        <v>79</v>
      </c>
      <c r="B47" s="80">
        <f>(B25*(B39*B1+D25*D23)+B22)/(B25*(B39+D25)+1)</f>
        <v>-5.575835563814477</v>
      </c>
      <c r="C47" s="81">
        <f>(C25*(C39*C21+E25*E23)+C22)/(C25*(C39+E25)+1)</f>
        <v>-5.09658253045888</v>
      </c>
      <c r="D47" s="38"/>
      <c r="E47" s="56"/>
      <c r="F47" s="56"/>
      <c r="G47" s="56"/>
      <c r="H47" s="56"/>
    </row>
    <row r="48" spans="1:8" ht="12.75">
      <c r="A48" s="38" t="s">
        <v>81</v>
      </c>
      <c r="B48" s="54">
        <f>B39*(B47-B1)</f>
        <v>504.46902691826807</v>
      </c>
      <c r="C48" s="54">
        <f>C39*(C47-C21)</f>
        <v>440.60628092032334</v>
      </c>
      <c r="D48" s="38"/>
      <c r="E48" s="56"/>
      <c r="F48" s="56"/>
      <c r="G48" s="56"/>
      <c r="H48" s="56"/>
    </row>
    <row r="49" spans="1:8" ht="12.75">
      <c r="A49" s="38"/>
      <c r="B49" s="40"/>
      <c r="C49" s="40"/>
      <c r="D49" s="38"/>
      <c r="E49" s="56"/>
      <c r="F49" s="56"/>
      <c r="G49" s="53"/>
      <c r="H49" s="53"/>
    </row>
    <row r="50" spans="1:8" ht="12.75">
      <c r="A50" s="38" t="s">
        <v>82</v>
      </c>
      <c r="B50" s="38">
        <v>1000</v>
      </c>
      <c r="C50" s="38"/>
      <c r="D50" s="38"/>
      <c r="E50" s="38"/>
      <c r="F50" s="38"/>
      <c r="G50" s="38"/>
      <c r="H50" s="38"/>
    </row>
    <row r="51" spans="1:8" ht="12.75">
      <c r="A51" s="38" t="s">
        <v>83</v>
      </c>
      <c r="B51" s="79">
        <f>B50*(B26^2-B27^2)/2/B26</f>
        <v>1.5555000000000003</v>
      </c>
      <c r="C51" s="38"/>
      <c r="D51" s="38"/>
      <c r="E51" s="38"/>
      <c r="F51" s="38"/>
      <c r="G51" s="38"/>
      <c r="H51" s="38"/>
    </row>
    <row r="52" spans="1:8" ht="12.75">
      <c r="A52" s="38" t="s">
        <v>84</v>
      </c>
      <c r="B52" s="38">
        <v>3000</v>
      </c>
      <c r="C52" s="38"/>
      <c r="D52" s="38"/>
      <c r="E52" s="38"/>
      <c r="F52" s="38"/>
      <c r="G52" s="38"/>
      <c r="H52" s="38"/>
    </row>
    <row r="53" spans="1:8" ht="12.75">
      <c r="A53" s="38" t="s">
        <v>85</v>
      </c>
      <c r="B53" s="38">
        <f>B28/B50/B52</f>
        <v>8.003847860459345E-08</v>
      </c>
      <c r="C53" s="38"/>
      <c r="D53" s="38"/>
      <c r="E53" s="38"/>
      <c r="F53" s="38"/>
      <c r="G53" s="38"/>
      <c r="H53" s="38"/>
    </row>
    <row r="54" spans="1:8" ht="12.75">
      <c r="A54" s="38" t="s">
        <v>86</v>
      </c>
      <c r="B54" s="38"/>
      <c r="C54" s="38"/>
      <c r="D54" s="38"/>
      <c r="E54" s="38"/>
      <c r="F54" s="38"/>
      <c r="G54" s="38"/>
      <c r="H54" s="38"/>
    </row>
    <row r="55" spans="1:8" ht="12.75">
      <c r="A55" s="38" t="s">
        <v>87</v>
      </c>
      <c r="B55" s="38">
        <f>B53/(B26-B27)^2</f>
        <v>0.027694975295707074</v>
      </c>
      <c r="C55" s="38"/>
      <c r="D55" s="38"/>
      <c r="E55" s="38"/>
      <c r="F55" s="38"/>
      <c r="G55" s="38"/>
      <c r="H55" s="38"/>
    </row>
    <row r="56" spans="1:8" ht="12.75">
      <c r="A56" s="38"/>
      <c r="B56" s="38"/>
      <c r="C56" s="38"/>
      <c r="D56" s="38"/>
      <c r="E56" s="38"/>
      <c r="F56" s="38"/>
      <c r="G56" s="38"/>
      <c r="H56" s="38"/>
    </row>
    <row r="57" spans="1:8" ht="12.75">
      <c r="A57" s="85" t="s">
        <v>88</v>
      </c>
      <c r="B57" s="79">
        <v>0</v>
      </c>
      <c r="C57" s="38"/>
      <c r="D57" s="38"/>
      <c r="E57" s="38"/>
      <c r="F57" s="38"/>
      <c r="G57" s="38"/>
      <c r="H57" s="38"/>
    </row>
    <row r="58" ht="12.75">
      <c r="A58" s="8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Jacek Wolski</cp:lastModifiedBy>
  <dcterms:created xsi:type="dcterms:W3CDTF">2009-12-20T19:16:28Z</dcterms:created>
  <dcterms:modified xsi:type="dcterms:W3CDTF">2010-02-02T10:56:10Z</dcterms:modified>
  <cp:category/>
  <cp:version/>
  <cp:contentType/>
  <cp:contentStatus/>
</cp:coreProperties>
</file>